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leksandra.wnuk-wojd\AppData\Local\Temp\ezdpuw\20240830082847214\"/>
    </mc:Choice>
  </mc:AlternateContent>
  <xr:revisionPtr revIDLastSave="0" documentId="13_ncr:1_{44535DEE-0672-4F45-90BC-5D4A0FCAC0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SPO poradnie - 21.06.2024r." sheetId="1" r:id="rId1"/>
  </sheets>
  <definedNames>
    <definedName name="_xlnm._FilterDatabase" localSheetId="0" hidden="1">'RSPO poradnie - 21.06.2024r.'!$P$2:$P$1333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K3" i="1"/>
  <c r="L3" i="1"/>
  <c r="M3" i="1"/>
  <c r="N3" i="1"/>
  <c r="B4" i="1"/>
  <c r="K4" i="1"/>
  <c r="L4" i="1"/>
  <c r="M4" i="1"/>
  <c r="N4" i="1"/>
  <c r="B5" i="1"/>
  <c r="K5" i="1"/>
  <c r="L5" i="1"/>
  <c r="M5" i="1"/>
  <c r="N5" i="1"/>
  <c r="B6" i="1"/>
  <c r="K6" i="1"/>
  <c r="L6" i="1"/>
  <c r="M6" i="1"/>
  <c r="N6" i="1"/>
  <c r="B7" i="1"/>
  <c r="K7" i="1"/>
  <c r="L7" i="1"/>
  <c r="M7" i="1"/>
  <c r="N7" i="1"/>
  <c r="B8" i="1"/>
  <c r="K8" i="1"/>
  <c r="L8" i="1"/>
  <c r="M8" i="1"/>
  <c r="N8" i="1"/>
  <c r="B9" i="1"/>
  <c r="K9" i="1"/>
  <c r="L9" i="1"/>
  <c r="M9" i="1"/>
  <c r="N9" i="1"/>
  <c r="B10" i="1"/>
  <c r="K10" i="1"/>
  <c r="L10" i="1"/>
  <c r="M10" i="1"/>
  <c r="N10" i="1"/>
  <c r="B11" i="1"/>
  <c r="K11" i="1"/>
  <c r="L11" i="1"/>
  <c r="M11" i="1"/>
  <c r="N11" i="1"/>
  <c r="B12" i="1"/>
  <c r="K12" i="1"/>
  <c r="L12" i="1"/>
  <c r="M12" i="1"/>
  <c r="N12" i="1"/>
  <c r="B13" i="1"/>
  <c r="K13" i="1"/>
  <c r="L13" i="1"/>
  <c r="M13" i="1"/>
  <c r="N13" i="1"/>
  <c r="B14" i="1"/>
  <c r="K14" i="1"/>
  <c r="L14" i="1"/>
  <c r="M14" i="1"/>
  <c r="N14" i="1"/>
  <c r="B15" i="1"/>
  <c r="K15" i="1"/>
  <c r="L15" i="1"/>
  <c r="M15" i="1"/>
  <c r="N15" i="1"/>
  <c r="B16" i="1"/>
  <c r="K16" i="1"/>
  <c r="L16" i="1"/>
  <c r="M16" i="1"/>
  <c r="N16" i="1"/>
  <c r="B17" i="1"/>
  <c r="K17" i="1"/>
  <c r="L17" i="1"/>
  <c r="M17" i="1"/>
  <c r="N17" i="1"/>
  <c r="B18" i="1"/>
  <c r="K18" i="1"/>
  <c r="L18" i="1"/>
  <c r="M18" i="1"/>
  <c r="N18" i="1"/>
  <c r="B19" i="1"/>
  <c r="K19" i="1"/>
  <c r="L19" i="1"/>
  <c r="M19" i="1"/>
  <c r="N19" i="1"/>
  <c r="B20" i="1"/>
  <c r="K20" i="1"/>
  <c r="L20" i="1"/>
  <c r="M20" i="1"/>
  <c r="N20" i="1"/>
  <c r="B21" i="1"/>
  <c r="K21" i="1"/>
  <c r="L21" i="1"/>
  <c r="M21" i="1"/>
  <c r="N21" i="1"/>
  <c r="B22" i="1"/>
  <c r="K22" i="1"/>
  <c r="L22" i="1"/>
  <c r="M22" i="1"/>
  <c r="N22" i="1"/>
  <c r="B23" i="1"/>
  <c r="K23" i="1"/>
  <c r="L23" i="1"/>
  <c r="M23" i="1"/>
  <c r="N23" i="1"/>
  <c r="B24" i="1"/>
  <c r="K24" i="1"/>
  <c r="L24" i="1"/>
  <c r="M24" i="1"/>
  <c r="N24" i="1"/>
  <c r="B25" i="1"/>
  <c r="K25" i="1"/>
  <c r="L25" i="1"/>
  <c r="M25" i="1"/>
  <c r="N25" i="1"/>
  <c r="B26" i="1"/>
  <c r="K26" i="1"/>
  <c r="L26" i="1"/>
  <c r="M26" i="1"/>
  <c r="N26" i="1"/>
  <c r="B27" i="1"/>
  <c r="K27" i="1"/>
  <c r="L27" i="1"/>
  <c r="M27" i="1"/>
  <c r="N27" i="1"/>
  <c r="B28" i="1"/>
  <c r="K28" i="1"/>
  <c r="L28" i="1"/>
  <c r="M28" i="1"/>
  <c r="N28" i="1"/>
  <c r="B29" i="1"/>
  <c r="K29" i="1"/>
  <c r="L29" i="1"/>
  <c r="M29" i="1"/>
  <c r="N29" i="1"/>
  <c r="B30" i="1"/>
  <c r="K30" i="1"/>
  <c r="L30" i="1"/>
  <c r="M30" i="1"/>
  <c r="N30" i="1"/>
  <c r="B31" i="1"/>
  <c r="K31" i="1"/>
  <c r="L31" i="1"/>
  <c r="M31" i="1"/>
  <c r="N31" i="1"/>
  <c r="B32" i="1"/>
  <c r="K32" i="1"/>
  <c r="L32" i="1"/>
  <c r="M32" i="1"/>
  <c r="N32" i="1"/>
  <c r="B33" i="1"/>
  <c r="K33" i="1"/>
  <c r="L33" i="1"/>
  <c r="M33" i="1"/>
  <c r="N33" i="1"/>
  <c r="B34" i="1"/>
  <c r="K34" i="1"/>
  <c r="L34" i="1"/>
  <c r="M34" i="1"/>
  <c r="N34" i="1"/>
  <c r="B35" i="1"/>
  <c r="K35" i="1"/>
  <c r="L35" i="1"/>
  <c r="M35" i="1"/>
  <c r="N35" i="1"/>
  <c r="B36" i="1"/>
  <c r="K36" i="1"/>
  <c r="L36" i="1"/>
  <c r="M36" i="1"/>
  <c r="N36" i="1"/>
  <c r="B37" i="1"/>
  <c r="K37" i="1"/>
  <c r="L37" i="1"/>
  <c r="M37" i="1"/>
  <c r="N37" i="1"/>
  <c r="B38" i="1"/>
  <c r="K38" i="1"/>
  <c r="L38" i="1"/>
  <c r="M38" i="1"/>
  <c r="N38" i="1"/>
  <c r="B39" i="1"/>
  <c r="K39" i="1"/>
  <c r="L39" i="1"/>
  <c r="M39" i="1"/>
  <c r="N39" i="1"/>
  <c r="B40" i="1"/>
  <c r="K40" i="1"/>
  <c r="L40" i="1"/>
  <c r="M40" i="1"/>
  <c r="N40" i="1"/>
  <c r="B41" i="1"/>
  <c r="K41" i="1"/>
  <c r="L41" i="1"/>
  <c r="M41" i="1"/>
  <c r="N41" i="1"/>
  <c r="B42" i="1"/>
  <c r="K42" i="1"/>
  <c r="L42" i="1"/>
  <c r="M42" i="1"/>
  <c r="N42" i="1"/>
  <c r="B43" i="1"/>
  <c r="K43" i="1"/>
  <c r="L43" i="1"/>
  <c r="M43" i="1"/>
  <c r="N43" i="1"/>
  <c r="B44" i="1"/>
  <c r="K44" i="1"/>
  <c r="L44" i="1"/>
  <c r="M44" i="1"/>
  <c r="N44" i="1"/>
  <c r="B45" i="1"/>
  <c r="K45" i="1"/>
  <c r="L45" i="1"/>
  <c r="M45" i="1"/>
  <c r="N45" i="1"/>
  <c r="B46" i="1"/>
  <c r="K46" i="1"/>
  <c r="L46" i="1"/>
  <c r="M46" i="1"/>
  <c r="N46" i="1"/>
  <c r="B47" i="1"/>
  <c r="K47" i="1"/>
  <c r="L47" i="1"/>
  <c r="M47" i="1"/>
  <c r="N47" i="1"/>
  <c r="B48" i="1"/>
  <c r="K48" i="1"/>
  <c r="L48" i="1"/>
  <c r="M48" i="1"/>
  <c r="N48" i="1"/>
  <c r="B49" i="1"/>
  <c r="K49" i="1"/>
  <c r="L49" i="1"/>
  <c r="M49" i="1"/>
  <c r="N49" i="1"/>
  <c r="B50" i="1"/>
  <c r="K50" i="1"/>
  <c r="L50" i="1"/>
  <c r="M50" i="1"/>
  <c r="N50" i="1"/>
  <c r="B51" i="1"/>
  <c r="K51" i="1"/>
  <c r="L51" i="1"/>
  <c r="M51" i="1"/>
  <c r="N51" i="1"/>
  <c r="B52" i="1"/>
  <c r="K52" i="1"/>
  <c r="L52" i="1"/>
  <c r="M52" i="1"/>
  <c r="N52" i="1"/>
  <c r="B53" i="1"/>
  <c r="K53" i="1"/>
  <c r="L53" i="1"/>
  <c r="M53" i="1"/>
  <c r="N53" i="1"/>
  <c r="B54" i="1"/>
  <c r="K54" i="1"/>
  <c r="L54" i="1"/>
  <c r="M54" i="1"/>
  <c r="N54" i="1"/>
  <c r="B55" i="1"/>
  <c r="K55" i="1"/>
  <c r="L55" i="1"/>
  <c r="M55" i="1"/>
  <c r="N55" i="1"/>
  <c r="B56" i="1"/>
  <c r="K56" i="1"/>
  <c r="L56" i="1"/>
  <c r="M56" i="1"/>
  <c r="N56" i="1"/>
  <c r="B57" i="1"/>
  <c r="K57" i="1"/>
  <c r="L57" i="1"/>
  <c r="M57" i="1"/>
  <c r="N57" i="1"/>
  <c r="B58" i="1"/>
  <c r="K58" i="1"/>
  <c r="L58" i="1"/>
  <c r="M58" i="1"/>
  <c r="N58" i="1"/>
  <c r="B59" i="1"/>
  <c r="K59" i="1"/>
  <c r="L59" i="1"/>
  <c r="M59" i="1"/>
  <c r="N59" i="1"/>
  <c r="B60" i="1"/>
  <c r="K60" i="1"/>
  <c r="L60" i="1"/>
  <c r="M60" i="1"/>
  <c r="N60" i="1"/>
  <c r="B61" i="1"/>
  <c r="K61" i="1"/>
  <c r="L61" i="1"/>
  <c r="M61" i="1"/>
  <c r="N61" i="1"/>
  <c r="B62" i="1"/>
  <c r="K62" i="1"/>
  <c r="L62" i="1"/>
  <c r="M62" i="1"/>
  <c r="N62" i="1"/>
  <c r="B63" i="1"/>
  <c r="K63" i="1"/>
  <c r="L63" i="1"/>
  <c r="M63" i="1"/>
  <c r="N63" i="1"/>
  <c r="B64" i="1"/>
  <c r="K64" i="1"/>
  <c r="L64" i="1"/>
  <c r="M64" i="1"/>
  <c r="N64" i="1"/>
  <c r="B65" i="1"/>
  <c r="K65" i="1"/>
  <c r="L65" i="1"/>
  <c r="M65" i="1"/>
  <c r="N65" i="1"/>
  <c r="B66" i="1"/>
  <c r="K66" i="1"/>
  <c r="L66" i="1"/>
  <c r="M66" i="1"/>
  <c r="N66" i="1"/>
  <c r="B67" i="1"/>
  <c r="K67" i="1"/>
  <c r="L67" i="1"/>
  <c r="M67" i="1"/>
  <c r="N67" i="1"/>
  <c r="B68" i="1"/>
  <c r="K68" i="1"/>
  <c r="L68" i="1"/>
  <c r="M68" i="1"/>
  <c r="N68" i="1"/>
  <c r="B69" i="1"/>
  <c r="K69" i="1"/>
  <c r="L69" i="1"/>
  <c r="M69" i="1"/>
  <c r="N69" i="1"/>
  <c r="B70" i="1"/>
  <c r="K70" i="1"/>
  <c r="L70" i="1"/>
  <c r="M70" i="1"/>
  <c r="N70" i="1"/>
  <c r="B71" i="1"/>
  <c r="K71" i="1"/>
  <c r="L71" i="1"/>
  <c r="M71" i="1"/>
  <c r="N71" i="1"/>
  <c r="B72" i="1"/>
  <c r="K72" i="1"/>
  <c r="L72" i="1"/>
  <c r="M72" i="1"/>
  <c r="N72" i="1"/>
  <c r="B73" i="1"/>
  <c r="K73" i="1"/>
  <c r="L73" i="1"/>
  <c r="M73" i="1"/>
  <c r="N73" i="1"/>
  <c r="B74" i="1"/>
  <c r="K74" i="1"/>
  <c r="L74" i="1"/>
  <c r="M74" i="1"/>
  <c r="N74" i="1"/>
  <c r="B75" i="1"/>
  <c r="K75" i="1"/>
  <c r="L75" i="1"/>
  <c r="M75" i="1"/>
  <c r="N75" i="1"/>
  <c r="B76" i="1"/>
  <c r="K76" i="1"/>
  <c r="L76" i="1"/>
  <c r="M76" i="1"/>
  <c r="N76" i="1"/>
  <c r="B77" i="1"/>
  <c r="K77" i="1"/>
  <c r="L77" i="1"/>
  <c r="M77" i="1"/>
  <c r="N77" i="1"/>
  <c r="B78" i="1"/>
  <c r="K78" i="1"/>
  <c r="L78" i="1"/>
  <c r="M78" i="1"/>
  <c r="N78" i="1"/>
  <c r="B79" i="1"/>
  <c r="K79" i="1"/>
  <c r="L79" i="1"/>
  <c r="M79" i="1"/>
  <c r="N79" i="1"/>
  <c r="B80" i="1"/>
  <c r="K80" i="1"/>
  <c r="L80" i="1"/>
  <c r="M80" i="1"/>
  <c r="N80" i="1"/>
  <c r="B81" i="1"/>
  <c r="K81" i="1"/>
  <c r="L81" i="1"/>
  <c r="M81" i="1"/>
  <c r="N81" i="1"/>
  <c r="B82" i="1"/>
  <c r="K82" i="1"/>
  <c r="L82" i="1"/>
  <c r="M82" i="1"/>
  <c r="N82" i="1"/>
  <c r="B83" i="1"/>
  <c r="K83" i="1"/>
  <c r="L83" i="1"/>
  <c r="M83" i="1"/>
  <c r="N83" i="1"/>
  <c r="B84" i="1"/>
  <c r="K84" i="1"/>
  <c r="L84" i="1"/>
  <c r="M84" i="1"/>
  <c r="N84" i="1"/>
  <c r="B85" i="1"/>
  <c r="K85" i="1"/>
  <c r="L85" i="1"/>
  <c r="M85" i="1"/>
  <c r="N85" i="1"/>
  <c r="B86" i="1"/>
  <c r="K86" i="1"/>
  <c r="L86" i="1"/>
  <c r="M86" i="1"/>
  <c r="N86" i="1"/>
  <c r="B87" i="1"/>
  <c r="K87" i="1"/>
  <c r="L87" i="1"/>
  <c r="M87" i="1"/>
  <c r="N87" i="1"/>
  <c r="B88" i="1"/>
  <c r="K88" i="1"/>
  <c r="L88" i="1"/>
  <c r="M88" i="1"/>
  <c r="N88" i="1"/>
  <c r="B89" i="1"/>
  <c r="K89" i="1"/>
  <c r="L89" i="1"/>
  <c r="M89" i="1"/>
  <c r="N89" i="1"/>
  <c r="B90" i="1"/>
  <c r="K90" i="1"/>
  <c r="L90" i="1"/>
  <c r="M90" i="1"/>
  <c r="N90" i="1"/>
  <c r="B91" i="1"/>
  <c r="K91" i="1"/>
  <c r="L91" i="1"/>
  <c r="M91" i="1"/>
  <c r="N91" i="1"/>
  <c r="B92" i="1"/>
  <c r="K92" i="1"/>
  <c r="L92" i="1"/>
  <c r="M92" i="1"/>
  <c r="N92" i="1"/>
  <c r="B93" i="1"/>
  <c r="K93" i="1"/>
  <c r="L93" i="1"/>
  <c r="M93" i="1"/>
  <c r="N93" i="1"/>
  <c r="B94" i="1"/>
  <c r="K94" i="1"/>
  <c r="L94" i="1"/>
  <c r="M94" i="1"/>
  <c r="N94" i="1"/>
  <c r="B95" i="1"/>
  <c r="K95" i="1"/>
  <c r="L95" i="1"/>
  <c r="M95" i="1"/>
  <c r="N95" i="1"/>
  <c r="B96" i="1"/>
  <c r="K96" i="1"/>
  <c r="L96" i="1"/>
  <c r="M96" i="1"/>
  <c r="N96" i="1"/>
  <c r="B97" i="1"/>
  <c r="K97" i="1"/>
  <c r="L97" i="1"/>
  <c r="M97" i="1"/>
  <c r="N97" i="1"/>
  <c r="B98" i="1"/>
  <c r="K98" i="1"/>
  <c r="L98" i="1"/>
  <c r="M98" i="1"/>
  <c r="N98" i="1"/>
  <c r="B99" i="1"/>
  <c r="K99" i="1"/>
  <c r="L99" i="1"/>
  <c r="M99" i="1"/>
  <c r="N99" i="1"/>
  <c r="B100" i="1"/>
  <c r="K100" i="1"/>
  <c r="L100" i="1"/>
  <c r="M100" i="1"/>
  <c r="N100" i="1"/>
  <c r="B101" i="1"/>
  <c r="K101" i="1"/>
  <c r="L101" i="1"/>
  <c r="M101" i="1"/>
  <c r="N101" i="1"/>
  <c r="B102" i="1"/>
  <c r="K102" i="1"/>
  <c r="L102" i="1"/>
  <c r="M102" i="1"/>
  <c r="N102" i="1"/>
  <c r="B103" i="1"/>
  <c r="K103" i="1"/>
  <c r="L103" i="1"/>
  <c r="M103" i="1"/>
  <c r="N103" i="1"/>
  <c r="B104" i="1"/>
  <c r="K104" i="1"/>
  <c r="L104" i="1"/>
  <c r="M104" i="1"/>
  <c r="N104" i="1"/>
  <c r="B105" i="1"/>
  <c r="K105" i="1"/>
  <c r="L105" i="1"/>
  <c r="M105" i="1"/>
  <c r="N105" i="1"/>
  <c r="B106" i="1"/>
  <c r="K106" i="1"/>
  <c r="L106" i="1"/>
  <c r="M106" i="1"/>
  <c r="N106" i="1"/>
  <c r="B107" i="1"/>
  <c r="K107" i="1"/>
  <c r="L107" i="1"/>
  <c r="M107" i="1"/>
  <c r="N107" i="1"/>
  <c r="B108" i="1"/>
  <c r="K108" i="1"/>
  <c r="L108" i="1"/>
  <c r="M108" i="1"/>
  <c r="N108" i="1"/>
  <c r="B109" i="1"/>
  <c r="K109" i="1"/>
  <c r="L109" i="1"/>
  <c r="M109" i="1"/>
  <c r="N109" i="1"/>
  <c r="B110" i="1"/>
  <c r="K110" i="1"/>
  <c r="L110" i="1"/>
  <c r="M110" i="1"/>
  <c r="N110" i="1"/>
  <c r="B111" i="1"/>
  <c r="K111" i="1"/>
  <c r="L111" i="1"/>
  <c r="M111" i="1"/>
  <c r="N111" i="1"/>
  <c r="B112" i="1"/>
  <c r="K112" i="1"/>
  <c r="L112" i="1"/>
  <c r="M112" i="1"/>
  <c r="N112" i="1"/>
  <c r="B113" i="1"/>
  <c r="K113" i="1"/>
  <c r="L113" i="1"/>
  <c r="M113" i="1"/>
  <c r="N113" i="1"/>
  <c r="B114" i="1"/>
  <c r="K114" i="1"/>
  <c r="L114" i="1"/>
  <c r="M114" i="1"/>
  <c r="N114" i="1"/>
  <c r="B115" i="1"/>
  <c r="K115" i="1"/>
  <c r="L115" i="1"/>
  <c r="M115" i="1"/>
  <c r="N115" i="1"/>
  <c r="B116" i="1"/>
  <c r="K116" i="1"/>
  <c r="L116" i="1"/>
  <c r="M116" i="1"/>
  <c r="N116" i="1"/>
  <c r="B117" i="1"/>
  <c r="K117" i="1"/>
  <c r="L117" i="1"/>
  <c r="M117" i="1"/>
  <c r="N117" i="1"/>
  <c r="B118" i="1"/>
  <c r="K118" i="1"/>
  <c r="L118" i="1"/>
  <c r="M118" i="1"/>
  <c r="N118" i="1"/>
  <c r="B119" i="1"/>
  <c r="K119" i="1"/>
  <c r="L119" i="1"/>
  <c r="M119" i="1"/>
  <c r="N119" i="1"/>
  <c r="B120" i="1"/>
  <c r="K120" i="1"/>
  <c r="L120" i="1"/>
  <c r="M120" i="1"/>
  <c r="N120" i="1"/>
  <c r="B121" i="1"/>
  <c r="K121" i="1"/>
  <c r="L121" i="1"/>
  <c r="M121" i="1"/>
  <c r="N121" i="1"/>
  <c r="B122" i="1"/>
  <c r="K122" i="1"/>
  <c r="L122" i="1"/>
  <c r="M122" i="1"/>
  <c r="N122" i="1"/>
  <c r="B123" i="1"/>
  <c r="K123" i="1"/>
  <c r="L123" i="1"/>
  <c r="M123" i="1"/>
  <c r="N123" i="1"/>
  <c r="B124" i="1"/>
  <c r="K124" i="1"/>
  <c r="L124" i="1"/>
  <c r="M124" i="1"/>
  <c r="N124" i="1"/>
  <c r="B125" i="1"/>
  <c r="K125" i="1"/>
  <c r="L125" i="1"/>
  <c r="M125" i="1"/>
  <c r="N125" i="1"/>
  <c r="B126" i="1"/>
  <c r="K126" i="1"/>
  <c r="L126" i="1"/>
  <c r="M126" i="1"/>
  <c r="N126" i="1"/>
  <c r="B127" i="1"/>
  <c r="K127" i="1"/>
  <c r="L127" i="1"/>
  <c r="M127" i="1"/>
  <c r="N127" i="1"/>
  <c r="B128" i="1"/>
  <c r="K128" i="1"/>
  <c r="L128" i="1"/>
  <c r="M128" i="1"/>
  <c r="N128" i="1"/>
  <c r="B129" i="1"/>
  <c r="K129" i="1"/>
  <c r="L129" i="1"/>
  <c r="M129" i="1"/>
  <c r="N129" i="1"/>
  <c r="B130" i="1"/>
  <c r="K130" i="1"/>
  <c r="L130" i="1"/>
  <c r="M130" i="1"/>
  <c r="N130" i="1"/>
  <c r="B131" i="1"/>
  <c r="K131" i="1"/>
  <c r="L131" i="1"/>
  <c r="M131" i="1"/>
  <c r="N131" i="1"/>
  <c r="B132" i="1"/>
  <c r="K132" i="1"/>
  <c r="L132" i="1"/>
  <c r="M132" i="1"/>
  <c r="N132" i="1"/>
  <c r="B133" i="1"/>
  <c r="K133" i="1"/>
  <c r="L133" i="1"/>
  <c r="M133" i="1"/>
  <c r="N133" i="1"/>
  <c r="B134" i="1"/>
  <c r="K134" i="1"/>
  <c r="L134" i="1"/>
  <c r="M134" i="1"/>
  <c r="N134" i="1"/>
  <c r="B135" i="1"/>
  <c r="K135" i="1"/>
  <c r="L135" i="1"/>
  <c r="M135" i="1"/>
  <c r="N135" i="1"/>
  <c r="B136" i="1"/>
  <c r="K136" i="1"/>
  <c r="L136" i="1"/>
  <c r="M136" i="1"/>
  <c r="N136" i="1"/>
  <c r="B137" i="1"/>
  <c r="K137" i="1"/>
  <c r="L137" i="1"/>
  <c r="M137" i="1"/>
  <c r="N137" i="1"/>
  <c r="B138" i="1"/>
  <c r="K138" i="1"/>
  <c r="L138" i="1"/>
  <c r="M138" i="1"/>
  <c r="N138" i="1"/>
  <c r="B139" i="1"/>
  <c r="K139" i="1"/>
  <c r="L139" i="1"/>
  <c r="M139" i="1"/>
  <c r="N139" i="1"/>
  <c r="B140" i="1"/>
  <c r="K140" i="1"/>
  <c r="L140" i="1"/>
  <c r="M140" i="1"/>
  <c r="N140" i="1"/>
  <c r="B141" i="1"/>
  <c r="K141" i="1"/>
  <c r="L141" i="1"/>
  <c r="M141" i="1"/>
  <c r="N141" i="1"/>
  <c r="B142" i="1"/>
  <c r="K142" i="1"/>
  <c r="L142" i="1"/>
  <c r="M142" i="1"/>
  <c r="N142" i="1"/>
  <c r="B143" i="1"/>
  <c r="K143" i="1"/>
  <c r="L143" i="1"/>
  <c r="M143" i="1"/>
  <c r="N143" i="1"/>
  <c r="B144" i="1"/>
  <c r="K144" i="1"/>
  <c r="L144" i="1"/>
  <c r="M144" i="1"/>
  <c r="N144" i="1"/>
  <c r="B145" i="1"/>
  <c r="K145" i="1"/>
  <c r="L145" i="1"/>
  <c r="M145" i="1"/>
  <c r="N145" i="1"/>
  <c r="B146" i="1"/>
  <c r="K146" i="1"/>
  <c r="L146" i="1"/>
  <c r="M146" i="1"/>
  <c r="N146" i="1"/>
  <c r="B147" i="1"/>
  <c r="K147" i="1"/>
  <c r="L147" i="1"/>
  <c r="M147" i="1"/>
  <c r="N147" i="1"/>
  <c r="B148" i="1"/>
  <c r="K148" i="1"/>
  <c r="L148" i="1"/>
  <c r="M148" i="1"/>
  <c r="N148" i="1"/>
  <c r="B149" i="1"/>
  <c r="K149" i="1"/>
  <c r="L149" i="1"/>
  <c r="M149" i="1"/>
  <c r="N149" i="1"/>
  <c r="B150" i="1"/>
  <c r="K150" i="1"/>
  <c r="L150" i="1"/>
  <c r="M150" i="1"/>
  <c r="N150" i="1"/>
  <c r="B151" i="1"/>
  <c r="K151" i="1"/>
  <c r="L151" i="1"/>
  <c r="M151" i="1"/>
  <c r="N151" i="1"/>
  <c r="B152" i="1"/>
  <c r="K152" i="1"/>
  <c r="L152" i="1"/>
  <c r="M152" i="1"/>
  <c r="N152" i="1"/>
  <c r="B153" i="1"/>
  <c r="K153" i="1"/>
  <c r="L153" i="1"/>
  <c r="M153" i="1"/>
  <c r="N153" i="1"/>
  <c r="B154" i="1"/>
  <c r="K154" i="1"/>
  <c r="L154" i="1"/>
  <c r="M154" i="1"/>
  <c r="N154" i="1"/>
  <c r="B155" i="1"/>
  <c r="K155" i="1"/>
  <c r="L155" i="1"/>
  <c r="M155" i="1"/>
  <c r="N155" i="1"/>
  <c r="B156" i="1"/>
  <c r="K156" i="1"/>
  <c r="L156" i="1"/>
  <c r="M156" i="1"/>
  <c r="N156" i="1"/>
  <c r="B157" i="1"/>
  <c r="K157" i="1"/>
  <c r="L157" i="1"/>
  <c r="M157" i="1"/>
  <c r="N157" i="1"/>
  <c r="B158" i="1"/>
  <c r="K158" i="1"/>
  <c r="L158" i="1"/>
  <c r="M158" i="1"/>
  <c r="N158" i="1"/>
  <c r="B159" i="1"/>
  <c r="K159" i="1"/>
  <c r="L159" i="1"/>
  <c r="M159" i="1"/>
  <c r="N159" i="1"/>
  <c r="B160" i="1"/>
  <c r="K160" i="1"/>
  <c r="L160" i="1"/>
  <c r="M160" i="1"/>
  <c r="N160" i="1"/>
  <c r="B161" i="1"/>
  <c r="K161" i="1"/>
  <c r="L161" i="1"/>
  <c r="M161" i="1"/>
  <c r="N161" i="1"/>
  <c r="B162" i="1"/>
  <c r="K162" i="1"/>
  <c r="L162" i="1"/>
  <c r="M162" i="1"/>
  <c r="N162" i="1"/>
  <c r="B163" i="1"/>
  <c r="K163" i="1"/>
  <c r="L163" i="1"/>
  <c r="M163" i="1"/>
  <c r="N163" i="1"/>
  <c r="B164" i="1"/>
  <c r="K164" i="1"/>
  <c r="L164" i="1"/>
  <c r="M164" i="1"/>
  <c r="N164" i="1"/>
  <c r="B165" i="1"/>
  <c r="K165" i="1"/>
  <c r="L165" i="1"/>
  <c r="M165" i="1"/>
  <c r="N165" i="1"/>
  <c r="B166" i="1"/>
  <c r="K166" i="1"/>
  <c r="L166" i="1"/>
  <c r="M166" i="1"/>
  <c r="N166" i="1"/>
  <c r="B167" i="1"/>
  <c r="K167" i="1"/>
  <c r="L167" i="1"/>
  <c r="M167" i="1"/>
  <c r="N167" i="1"/>
  <c r="B168" i="1"/>
  <c r="K168" i="1"/>
  <c r="L168" i="1"/>
  <c r="M168" i="1"/>
  <c r="N168" i="1"/>
  <c r="B169" i="1"/>
  <c r="K169" i="1"/>
  <c r="L169" i="1"/>
  <c r="M169" i="1"/>
  <c r="N169" i="1"/>
  <c r="B170" i="1"/>
  <c r="K170" i="1"/>
  <c r="L170" i="1"/>
  <c r="M170" i="1"/>
  <c r="N170" i="1"/>
  <c r="B171" i="1"/>
  <c r="K171" i="1"/>
  <c r="L171" i="1"/>
  <c r="M171" i="1"/>
  <c r="N171" i="1"/>
  <c r="B172" i="1"/>
  <c r="K172" i="1"/>
  <c r="L172" i="1"/>
  <c r="M172" i="1"/>
  <c r="N172" i="1"/>
  <c r="B173" i="1"/>
  <c r="K173" i="1"/>
  <c r="L173" i="1"/>
  <c r="M173" i="1"/>
  <c r="N173" i="1"/>
  <c r="B174" i="1"/>
  <c r="K174" i="1"/>
  <c r="L174" i="1"/>
  <c r="M174" i="1"/>
  <c r="N174" i="1"/>
  <c r="B175" i="1"/>
  <c r="K175" i="1"/>
  <c r="L175" i="1"/>
  <c r="M175" i="1"/>
  <c r="N175" i="1"/>
  <c r="B176" i="1"/>
  <c r="K176" i="1"/>
  <c r="L176" i="1"/>
  <c r="M176" i="1"/>
  <c r="N176" i="1"/>
  <c r="B177" i="1"/>
  <c r="K177" i="1"/>
  <c r="L177" i="1"/>
  <c r="M177" i="1"/>
  <c r="N177" i="1"/>
  <c r="B178" i="1"/>
  <c r="K178" i="1"/>
  <c r="L178" i="1"/>
  <c r="M178" i="1"/>
  <c r="N178" i="1"/>
  <c r="B179" i="1"/>
  <c r="K179" i="1"/>
  <c r="L179" i="1"/>
  <c r="M179" i="1"/>
  <c r="N179" i="1"/>
  <c r="B180" i="1"/>
  <c r="K180" i="1"/>
  <c r="L180" i="1"/>
  <c r="M180" i="1"/>
  <c r="N180" i="1"/>
  <c r="B181" i="1"/>
  <c r="K181" i="1"/>
  <c r="L181" i="1"/>
  <c r="M181" i="1"/>
  <c r="N181" i="1"/>
  <c r="B182" i="1"/>
  <c r="K182" i="1"/>
  <c r="L182" i="1"/>
  <c r="M182" i="1"/>
  <c r="N182" i="1"/>
  <c r="B183" i="1"/>
  <c r="K183" i="1"/>
  <c r="L183" i="1"/>
  <c r="M183" i="1"/>
  <c r="N183" i="1"/>
  <c r="B184" i="1"/>
  <c r="K184" i="1"/>
  <c r="L184" i="1"/>
  <c r="M184" i="1"/>
  <c r="N184" i="1"/>
  <c r="B185" i="1"/>
  <c r="K185" i="1"/>
  <c r="L185" i="1"/>
  <c r="M185" i="1"/>
  <c r="N185" i="1"/>
  <c r="B186" i="1"/>
  <c r="K186" i="1"/>
  <c r="L186" i="1"/>
  <c r="M186" i="1"/>
  <c r="N186" i="1"/>
  <c r="B187" i="1"/>
  <c r="K187" i="1"/>
  <c r="L187" i="1"/>
  <c r="M187" i="1"/>
  <c r="N187" i="1"/>
  <c r="B188" i="1"/>
  <c r="K188" i="1"/>
  <c r="L188" i="1"/>
  <c r="M188" i="1"/>
  <c r="N188" i="1"/>
  <c r="B189" i="1"/>
  <c r="K189" i="1"/>
  <c r="L189" i="1"/>
  <c r="M189" i="1"/>
  <c r="N189" i="1"/>
  <c r="B190" i="1"/>
  <c r="K190" i="1"/>
  <c r="L190" i="1"/>
  <c r="M190" i="1"/>
  <c r="N190" i="1"/>
  <c r="B191" i="1"/>
  <c r="K191" i="1"/>
  <c r="L191" i="1"/>
  <c r="M191" i="1"/>
  <c r="N191" i="1"/>
  <c r="B192" i="1"/>
  <c r="K192" i="1"/>
  <c r="L192" i="1"/>
  <c r="M192" i="1"/>
  <c r="N192" i="1"/>
  <c r="B193" i="1"/>
  <c r="K193" i="1"/>
  <c r="L193" i="1"/>
  <c r="M193" i="1"/>
  <c r="N193" i="1"/>
  <c r="B194" i="1"/>
  <c r="K194" i="1"/>
  <c r="L194" i="1"/>
  <c r="M194" i="1"/>
  <c r="N194" i="1"/>
  <c r="B195" i="1"/>
  <c r="K195" i="1"/>
  <c r="L195" i="1"/>
  <c r="M195" i="1"/>
  <c r="N195" i="1"/>
  <c r="B196" i="1"/>
  <c r="K196" i="1"/>
  <c r="L196" i="1"/>
  <c r="M196" i="1"/>
  <c r="N196" i="1"/>
  <c r="B197" i="1"/>
  <c r="K197" i="1"/>
  <c r="L197" i="1"/>
  <c r="M197" i="1"/>
  <c r="N197" i="1"/>
  <c r="B198" i="1"/>
  <c r="K198" i="1"/>
  <c r="L198" i="1"/>
  <c r="M198" i="1"/>
  <c r="N198" i="1"/>
  <c r="B199" i="1"/>
  <c r="K199" i="1"/>
  <c r="L199" i="1"/>
  <c r="M199" i="1"/>
  <c r="N199" i="1"/>
  <c r="B200" i="1"/>
  <c r="K200" i="1"/>
  <c r="L200" i="1"/>
  <c r="M200" i="1"/>
  <c r="N200" i="1"/>
  <c r="B201" i="1"/>
  <c r="K201" i="1"/>
  <c r="L201" i="1"/>
  <c r="M201" i="1"/>
  <c r="N201" i="1"/>
  <c r="B202" i="1"/>
  <c r="K202" i="1"/>
  <c r="L202" i="1"/>
  <c r="M202" i="1"/>
  <c r="N202" i="1"/>
  <c r="B203" i="1"/>
  <c r="K203" i="1"/>
  <c r="L203" i="1"/>
  <c r="M203" i="1"/>
  <c r="N203" i="1"/>
  <c r="B204" i="1"/>
  <c r="K204" i="1"/>
  <c r="L204" i="1"/>
  <c r="M204" i="1"/>
  <c r="N204" i="1"/>
  <c r="B205" i="1"/>
  <c r="K205" i="1"/>
  <c r="L205" i="1"/>
  <c r="M205" i="1"/>
  <c r="N205" i="1"/>
  <c r="B206" i="1"/>
  <c r="K206" i="1"/>
  <c r="L206" i="1"/>
  <c r="M206" i="1"/>
  <c r="N206" i="1"/>
  <c r="B207" i="1"/>
  <c r="K207" i="1"/>
  <c r="L207" i="1"/>
  <c r="M207" i="1"/>
  <c r="N207" i="1"/>
  <c r="B208" i="1"/>
  <c r="K208" i="1"/>
  <c r="L208" i="1"/>
  <c r="M208" i="1"/>
  <c r="N208" i="1"/>
  <c r="B209" i="1"/>
  <c r="K209" i="1"/>
  <c r="L209" i="1"/>
  <c r="M209" i="1"/>
  <c r="N209" i="1"/>
  <c r="B210" i="1"/>
  <c r="K210" i="1"/>
  <c r="L210" i="1"/>
  <c r="M210" i="1"/>
  <c r="N210" i="1"/>
  <c r="B211" i="1"/>
  <c r="K211" i="1"/>
  <c r="L211" i="1"/>
  <c r="M211" i="1"/>
  <c r="N211" i="1"/>
  <c r="B212" i="1"/>
  <c r="K212" i="1"/>
  <c r="L212" i="1"/>
  <c r="M212" i="1"/>
  <c r="N212" i="1"/>
  <c r="B213" i="1"/>
  <c r="K213" i="1"/>
  <c r="L213" i="1"/>
  <c r="M213" i="1"/>
  <c r="N213" i="1"/>
  <c r="B214" i="1"/>
  <c r="K214" i="1"/>
  <c r="L214" i="1"/>
  <c r="M214" i="1"/>
  <c r="N214" i="1"/>
  <c r="B215" i="1"/>
  <c r="K215" i="1"/>
  <c r="L215" i="1"/>
  <c r="M215" i="1"/>
  <c r="N215" i="1"/>
  <c r="B216" i="1"/>
  <c r="K216" i="1"/>
  <c r="L216" i="1"/>
  <c r="M216" i="1"/>
  <c r="N216" i="1"/>
  <c r="B217" i="1"/>
  <c r="K217" i="1"/>
  <c r="L217" i="1"/>
  <c r="M217" i="1"/>
  <c r="N217" i="1"/>
  <c r="B218" i="1"/>
  <c r="K218" i="1"/>
  <c r="L218" i="1"/>
  <c r="M218" i="1"/>
  <c r="N218" i="1"/>
  <c r="B219" i="1"/>
  <c r="K219" i="1"/>
  <c r="L219" i="1"/>
  <c r="M219" i="1"/>
  <c r="N219" i="1"/>
  <c r="B220" i="1"/>
  <c r="K220" i="1"/>
  <c r="L220" i="1"/>
  <c r="M220" i="1"/>
  <c r="N220" i="1"/>
  <c r="B221" i="1"/>
  <c r="K221" i="1"/>
  <c r="L221" i="1"/>
  <c r="M221" i="1"/>
  <c r="N221" i="1"/>
  <c r="B222" i="1"/>
  <c r="K222" i="1"/>
  <c r="L222" i="1"/>
  <c r="M222" i="1"/>
  <c r="N222" i="1"/>
  <c r="B223" i="1"/>
  <c r="K223" i="1"/>
  <c r="L223" i="1"/>
  <c r="M223" i="1"/>
  <c r="N223" i="1"/>
  <c r="B224" i="1"/>
  <c r="K224" i="1"/>
  <c r="L224" i="1"/>
  <c r="M224" i="1"/>
  <c r="N224" i="1"/>
  <c r="B225" i="1"/>
  <c r="K225" i="1"/>
  <c r="L225" i="1"/>
  <c r="M225" i="1"/>
  <c r="N225" i="1"/>
  <c r="B226" i="1"/>
  <c r="K226" i="1"/>
  <c r="L226" i="1"/>
  <c r="M226" i="1"/>
  <c r="N226" i="1"/>
  <c r="B227" i="1"/>
  <c r="K227" i="1"/>
  <c r="L227" i="1"/>
  <c r="M227" i="1"/>
  <c r="N227" i="1"/>
  <c r="B228" i="1"/>
  <c r="K228" i="1"/>
  <c r="L228" i="1"/>
  <c r="M228" i="1"/>
  <c r="N228" i="1"/>
  <c r="B229" i="1"/>
  <c r="K229" i="1"/>
  <c r="L229" i="1"/>
  <c r="M229" i="1"/>
  <c r="N229" i="1"/>
  <c r="B230" i="1"/>
  <c r="K230" i="1"/>
  <c r="L230" i="1"/>
  <c r="M230" i="1"/>
  <c r="N230" i="1"/>
  <c r="B231" i="1"/>
  <c r="K231" i="1"/>
  <c r="L231" i="1"/>
  <c r="M231" i="1"/>
  <c r="N231" i="1"/>
  <c r="B232" i="1"/>
  <c r="K232" i="1"/>
  <c r="L232" i="1"/>
  <c r="M232" i="1"/>
  <c r="N232" i="1"/>
  <c r="B233" i="1"/>
  <c r="K233" i="1"/>
  <c r="L233" i="1"/>
  <c r="M233" i="1"/>
  <c r="N233" i="1"/>
  <c r="B234" i="1"/>
  <c r="K234" i="1"/>
  <c r="L234" i="1"/>
  <c r="M234" i="1"/>
  <c r="N234" i="1"/>
  <c r="B235" i="1"/>
  <c r="K235" i="1"/>
  <c r="L235" i="1"/>
  <c r="M235" i="1"/>
  <c r="N235" i="1"/>
  <c r="B236" i="1"/>
  <c r="K236" i="1"/>
  <c r="L236" i="1"/>
  <c r="M236" i="1"/>
  <c r="N236" i="1"/>
  <c r="B237" i="1"/>
  <c r="K237" i="1"/>
  <c r="L237" i="1"/>
  <c r="M237" i="1"/>
  <c r="N237" i="1"/>
  <c r="B238" i="1"/>
  <c r="K238" i="1"/>
  <c r="L238" i="1"/>
  <c r="M238" i="1"/>
  <c r="N238" i="1"/>
  <c r="B239" i="1"/>
  <c r="K239" i="1"/>
  <c r="L239" i="1"/>
  <c r="M239" i="1"/>
  <c r="N239" i="1"/>
  <c r="B240" i="1"/>
  <c r="K240" i="1"/>
  <c r="L240" i="1"/>
  <c r="M240" i="1"/>
  <c r="N240" i="1"/>
  <c r="B241" i="1"/>
  <c r="K241" i="1"/>
  <c r="L241" i="1"/>
  <c r="M241" i="1"/>
  <c r="N241" i="1"/>
  <c r="B242" i="1"/>
  <c r="K242" i="1"/>
  <c r="L242" i="1"/>
  <c r="M242" i="1"/>
  <c r="N242" i="1"/>
  <c r="B243" i="1"/>
  <c r="K243" i="1"/>
  <c r="L243" i="1"/>
  <c r="M243" i="1"/>
  <c r="N243" i="1"/>
  <c r="B244" i="1"/>
  <c r="K244" i="1"/>
  <c r="L244" i="1"/>
  <c r="M244" i="1"/>
  <c r="N244" i="1"/>
  <c r="B245" i="1"/>
  <c r="K245" i="1"/>
  <c r="L245" i="1"/>
  <c r="M245" i="1"/>
  <c r="N245" i="1"/>
  <c r="B246" i="1"/>
  <c r="K246" i="1"/>
  <c r="L246" i="1"/>
  <c r="M246" i="1"/>
  <c r="N246" i="1"/>
  <c r="B247" i="1"/>
  <c r="K247" i="1"/>
  <c r="L247" i="1"/>
  <c r="M247" i="1"/>
  <c r="N247" i="1"/>
  <c r="B248" i="1"/>
  <c r="K248" i="1"/>
  <c r="L248" i="1"/>
  <c r="M248" i="1"/>
  <c r="N248" i="1"/>
  <c r="B249" i="1"/>
  <c r="K249" i="1"/>
  <c r="L249" i="1"/>
  <c r="M249" i="1"/>
  <c r="N249" i="1"/>
  <c r="B250" i="1"/>
  <c r="K250" i="1"/>
  <c r="L250" i="1"/>
  <c r="M250" i="1"/>
  <c r="N250" i="1"/>
  <c r="B251" i="1"/>
  <c r="K251" i="1"/>
  <c r="L251" i="1"/>
  <c r="M251" i="1"/>
  <c r="N251" i="1"/>
  <c r="B252" i="1"/>
  <c r="K252" i="1"/>
  <c r="L252" i="1"/>
  <c r="M252" i="1"/>
  <c r="N252" i="1"/>
  <c r="B253" i="1"/>
  <c r="K253" i="1"/>
  <c r="L253" i="1"/>
  <c r="M253" i="1"/>
  <c r="N253" i="1"/>
  <c r="B254" i="1"/>
  <c r="K254" i="1"/>
  <c r="L254" i="1"/>
  <c r="M254" i="1"/>
  <c r="N254" i="1"/>
  <c r="B255" i="1"/>
  <c r="K255" i="1"/>
  <c r="L255" i="1"/>
  <c r="M255" i="1"/>
  <c r="N255" i="1"/>
  <c r="B256" i="1"/>
  <c r="K256" i="1"/>
  <c r="L256" i="1"/>
  <c r="M256" i="1"/>
  <c r="N256" i="1"/>
  <c r="B257" i="1"/>
  <c r="K257" i="1"/>
  <c r="L257" i="1"/>
  <c r="M257" i="1"/>
  <c r="N257" i="1"/>
  <c r="B258" i="1"/>
  <c r="K258" i="1"/>
  <c r="L258" i="1"/>
  <c r="M258" i="1"/>
  <c r="N258" i="1"/>
  <c r="B259" i="1"/>
  <c r="K259" i="1"/>
  <c r="L259" i="1"/>
  <c r="M259" i="1"/>
  <c r="N259" i="1"/>
  <c r="B260" i="1"/>
  <c r="K260" i="1"/>
  <c r="L260" i="1"/>
  <c r="M260" i="1"/>
  <c r="N260" i="1"/>
  <c r="B261" i="1"/>
  <c r="K261" i="1"/>
  <c r="L261" i="1"/>
  <c r="M261" i="1"/>
  <c r="N261" i="1"/>
  <c r="B262" i="1"/>
  <c r="K262" i="1"/>
  <c r="L262" i="1"/>
  <c r="M262" i="1"/>
  <c r="N262" i="1"/>
  <c r="B263" i="1"/>
  <c r="K263" i="1"/>
  <c r="L263" i="1"/>
  <c r="M263" i="1"/>
  <c r="N263" i="1"/>
  <c r="B264" i="1"/>
  <c r="K264" i="1"/>
  <c r="L264" i="1"/>
  <c r="M264" i="1"/>
  <c r="N264" i="1"/>
  <c r="B265" i="1"/>
  <c r="K265" i="1"/>
  <c r="L265" i="1"/>
  <c r="M265" i="1"/>
  <c r="N265" i="1"/>
  <c r="B266" i="1"/>
  <c r="K266" i="1"/>
  <c r="L266" i="1"/>
  <c r="M266" i="1"/>
  <c r="N266" i="1"/>
  <c r="B267" i="1"/>
  <c r="K267" i="1"/>
  <c r="L267" i="1"/>
  <c r="M267" i="1"/>
  <c r="N267" i="1"/>
  <c r="B268" i="1"/>
  <c r="K268" i="1"/>
  <c r="L268" i="1"/>
  <c r="M268" i="1"/>
  <c r="N268" i="1"/>
  <c r="B269" i="1"/>
  <c r="K269" i="1"/>
  <c r="L269" i="1"/>
  <c r="M269" i="1"/>
  <c r="N269" i="1"/>
  <c r="B270" i="1"/>
  <c r="K270" i="1"/>
  <c r="L270" i="1"/>
  <c r="M270" i="1"/>
  <c r="N270" i="1"/>
  <c r="B271" i="1"/>
  <c r="K271" i="1"/>
  <c r="L271" i="1"/>
  <c r="M271" i="1"/>
  <c r="N271" i="1"/>
  <c r="B272" i="1"/>
  <c r="K272" i="1"/>
  <c r="L272" i="1"/>
  <c r="M272" i="1"/>
  <c r="N272" i="1"/>
  <c r="B273" i="1"/>
  <c r="K273" i="1"/>
  <c r="L273" i="1"/>
  <c r="M273" i="1"/>
  <c r="N273" i="1"/>
  <c r="B274" i="1"/>
  <c r="K274" i="1"/>
  <c r="L274" i="1"/>
  <c r="M274" i="1"/>
  <c r="N274" i="1"/>
  <c r="B275" i="1"/>
  <c r="K275" i="1"/>
  <c r="L275" i="1"/>
  <c r="M275" i="1"/>
  <c r="N275" i="1"/>
  <c r="B276" i="1"/>
  <c r="K276" i="1"/>
  <c r="L276" i="1"/>
  <c r="M276" i="1"/>
  <c r="N276" i="1"/>
  <c r="B277" i="1"/>
  <c r="K277" i="1"/>
  <c r="L277" i="1"/>
  <c r="M277" i="1"/>
  <c r="N277" i="1"/>
  <c r="B278" i="1"/>
  <c r="K278" i="1"/>
  <c r="L278" i="1"/>
  <c r="M278" i="1"/>
  <c r="N278" i="1"/>
  <c r="B279" i="1"/>
  <c r="K279" i="1"/>
  <c r="L279" i="1"/>
  <c r="M279" i="1"/>
  <c r="N279" i="1"/>
  <c r="B280" i="1"/>
  <c r="K280" i="1"/>
  <c r="L280" i="1"/>
  <c r="M280" i="1"/>
  <c r="N280" i="1"/>
  <c r="B281" i="1"/>
  <c r="K281" i="1"/>
  <c r="L281" i="1"/>
  <c r="M281" i="1"/>
  <c r="N281" i="1"/>
  <c r="B282" i="1"/>
  <c r="K282" i="1"/>
  <c r="L282" i="1"/>
  <c r="M282" i="1"/>
  <c r="N282" i="1"/>
  <c r="B283" i="1"/>
  <c r="K283" i="1"/>
  <c r="L283" i="1"/>
  <c r="M283" i="1"/>
  <c r="N283" i="1"/>
  <c r="B284" i="1"/>
  <c r="K284" i="1"/>
  <c r="L284" i="1"/>
  <c r="M284" i="1"/>
  <c r="N284" i="1"/>
  <c r="B285" i="1"/>
  <c r="K285" i="1"/>
  <c r="L285" i="1"/>
  <c r="M285" i="1"/>
  <c r="N285" i="1"/>
  <c r="B286" i="1"/>
  <c r="K286" i="1"/>
  <c r="L286" i="1"/>
  <c r="M286" i="1"/>
  <c r="N286" i="1"/>
  <c r="B287" i="1"/>
  <c r="K287" i="1"/>
  <c r="L287" i="1"/>
  <c r="M287" i="1"/>
  <c r="N287" i="1"/>
  <c r="B288" i="1"/>
  <c r="K288" i="1"/>
  <c r="L288" i="1"/>
  <c r="M288" i="1"/>
  <c r="N288" i="1"/>
  <c r="B289" i="1"/>
  <c r="K289" i="1"/>
  <c r="L289" i="1"/>
  <c r="M289" i="1"/>
  <c r="N289" i="1"/>
  <c r="B290" i="1"/>
  <c r="K290" i="1"/>
  <c r="L290" i="1"/>
  <c r="M290" i="1"/>
  <c r="N290" i="1"/>
  <c r="B291" i="1"/>
  <c r="K291" i="1"/>
  <c r="L291" i="1"/>
  <c r="M291" i="1"/>
  <c r="N291" i="1"/>
  <c r="B292" i="1"/>
  <c r="K292" i="1"/>
  <c r="L292" i="1"/>
  <c r="M292" i="1"/>
  <c r="N292" i="1"/>
  <c r="B293" i="1"/>
  <c r="K293" i="1"/>
  <c r="L293" i="1"/>
  <c r="M293" i="1"/>
  <c r="N293" i="1"/>
  <c r="B294" i="1"/>
  <c r="K294" i="1"/>
  <c r="L294" i="1"/>
  <c r="M294" i="1"/>
  <c r="N294" i="1"/>
  <c r="B295" i="1"/>
  <c r="K295" i="1"/>
  <c r="L295" i="1"/>
  <c r="M295" i="1"/>
  <c r="N295" i="1"/>
  <c r="B296" i="1"/>
  <c r="K296" i="1"/>
  <c r="L296" i="1"/>
  <c r="M296" i="1"/>
  <c r="N296" i="1"/>
  <c r="B297" i="1"/>
  <c r="K297" i="1"/>
  <c r="L297" i="1"/>
  <c r="M297" i="1"/>
  <c r="N297" i="1"/>
  <c r="B298" i="1"/>
  <c r="K298" i="1"/>
  <c r="L298" i="1"/>
  <c r="M298" i="1"/>
  <c r="N298" i="1"/>
  <c r="B299" i="1"/>
  <c r="K299" i="1"/>
  <c r="L299" i="1"/>
  <c r="M299" i="1"/>
  <c r="N299" i="1"/>
  <c r="B300" i="1"/>
  <c r="K300" i="1"/>
  <c r="L300" i="1"/>
  <c r="M300" i="1"/>
  <c r="N300" i="1"/>
  <c r="B301" i="1"/>
  <c r="K301" i="1"/>
  <c r="L301" i="1"/>
  <c r="M301" i="1"/>
  <c r="N301" i="1"/>
  <c r="B302" i="1"/>
  <c r="K302" i="1"/>
  <c r="L302" i="1"/>
  <c r="M302" i="1"/>
  <c r="N302" i="1"/>
  <c r="B303" i="1"/>
  <c r="K303" i="1"/>
  <c r="L303" i="1"/>
  <c r="M303" i="1"/>
  <c r="N303" i="1"/>
  <c r="B304" i="1"/>
  <c r="K304" i="1"/>
  <c r="L304" i="1"/>
  <c r="M304" i="1"/>
  <c r="N304" i="1"/>
  <c r="B305" i="1"/>
  <c r="K305" i="1"/>
  <c r="L305" i="1"/>
  <c r="M305" i="1"/>
  <c r="N305" i="1"/>
  <c r="B306" i="1"/>
  <c r="K306" i="1"/>
  <c r="L306" i="1"/>
  <c r="M306" i="1"/>
  <c r="N306" i="1"/>
  <c r="B307" i="1"/>
  <c r="K307" i="1"/>
  <c r="L307" i="1"/>
  <c r="M307" i="1"/>
  <c r="N307" i="1"/>
  <c r="B308" i="1"/>
  <c r="K308" i="1"/>
  <c r="L308" i="1"/>
  <c r="M308" i="1"/>
  <c r="N308" i="1"/>
  <c r="B309" i="1"/>
  <c r="K309" i="1"/>
  <c r="L309" i="1"/>
  <c r="M309" i="1"/>
  <c r="N309" i="1"/>
  <c r="B310" i="1"/>
  <c r="K310" i="1"/>
  <c r="L310" i="1"/>
  <c r="M310" i="1"/>
  <c r="N310" i="1"/>
  <c r="B311" i="1"/>
  <c r="K311" i="1"/>
  <c r="L311" i="1"/>
  <c r="M311" i="1"/>
  <c r="N311" i="1"/>
  <c r="B312" i="1"/>
  <c r="K312" i="1"/>
  <c r="L312" i="1"/>
  <c r="M312" i="1"/>
  <c r="N312" i="1"/>
  <c r="B313" i="1"/>
  <c r="K313" i="1"/>
  <c r="L313" i="1"/>
  <c r="M313" i="1"/>
  <c r="N313" i="1"/>
  <c r="B314" i="1"/>
  <c r="K314" i="1"/>
  <c r="L314" i="1"/>
  <c r="M314" i="1"/>
  <c r="N314" i="1"/>
  <c r="B315" i="1"/>
  <c r="K315" i="1"/>
  <c r="L315" i="1"/>
  <c r="M315" i="1"/>
  <c r="N315" i="1"/>
  <c r="B316" i="1"/>
  <c r="K316" i="1"/>
  <c r="L316" i="1"/>
  <c r="M316" i="1"/>
  <c r="N316" i="1"/>
  <c r="B317" i="1"/>
  <c r="K317" i="1"/>
  <c r="L317" i="1"/>
  <c r="M317" i="1"/>
  <c r="N317" i="1"/>
  <c r="B318" i="1"/>
  <c r="K318" i="1"/>
  <c r="L318" i="1"/>
  <c r="M318" i="1"/>
  <c r="N318" i="1"/>
  <c r="B319" i="1"/>
  <c r="K319" i="1"/>
  <c r="L319" i="1"/>
  <c r="M319" i="1"/>
  <c r="N319" i="1"/>
  <c r="B320" i="1"/>
  <c r="K320" i="1"/>
  <c r="L320" i="1"/>
  <c r="M320" i="1"/>
  <c r="N320" i="1"/>
  <c r="B321" i="1"/>
  <c r="K321" i="1"/>
  <c r="L321" i="1"/>
  <c r="M321" i="1"/>
  <c r="N321" i="1"/>
  <c r="B322" i="1"/>
  <c r="K322" i="1"/>
  <c r="L322" i="1"/>
  <c r="M322" i="1"/>
  <c r="N322" i="1"/>
  <c r="B323" i="1"/>
  <c r="K323" i="1"/>
  <c r="L323" i="1"/>
  <c r="M323" i="1"/>
  <c r="N323" i="1"/>
  <c r="B324" i="1"/>
  <c r="K324" i="1"/>
  <c r="L324" i="1"/>
  <c r="M324" i="1"/>
  <c r="N324" i="1"/>
  <c r="B325" i="1"/>
  <c r="K325" i="1"/>
  <c r="L325" i="1"/>
  <c r="M325" i="1"/>
  <c r="N325" i="1"/>
  <c r="B326" i="1"/>
  <c r="K326" i="1"/>
  <c r="L326" i="1"/>
  <c r="M326" i="1"/>
  <c r="N326" i="1"/>
  <c r="B327" i="1"/>
  <c r="K327" i="1"/>
  <c r="L327" i="1"/>
  <c r="M327" i="1"/>
  <c r="N327" i="1"/>
  <c r="B328" i="1"/>
  <c r="K328" i="1"/>
  <c r="L328" i="1"/>
  <c r="M328" i="1"/>
  <c r="N328" i="1"/>
  <c r="B329" i="1"/>
  <c r="K329" i="1"/>
  <c r="L329" i="1"/>
  <c r="M329" i="1"/>
  <c r="N329" i="1"/>
  <c r="B330" i="1"/>
  <c r="K330" i="1"/>
  <c r="L330" i="1"/>
  <c r="M330" i="1"/>
  <c r="N330" i="1"/>
  <c r="B331" i="1"/>
  <c r="K331" i="1"/>
  <c r="L331" i="1"/>
  <c r="M331" i="1"/>
  <c r="N331" i="1"/>
  <c r="B332" i="1"/>
  <c r="K332" i="1"/>
  <c r="L332" i="1"/>
  <c r="M332" i="1"/>
  <c r="N332" i="1"/>
  <c r="B333" i="1"/>
  <c r="K333" i="1"/>
  <c r="L333" i="1"/>
  <c r="M333" i="1"/>
  <c r="N333" i="1"/>
  <c r="B334" i="1"/>
  <c r="K334" i="1"/>
  <c r="L334" i="1"/>
  <c r="M334" i="1"/>
  <c r="N334" i="1"/>
  <c r="B335" i="1"/>
  <c r="K335" i="1"/>
  <c r="L335" i="1"/>
  <c r="M335" i="1"/>
  <c r="N335" i="1"/>
  <c r="B336" i="1"/>
  <c r="K336" i="1"/>
  <c r="L336" i="1"/>
  <c r="M336" i="1"/>
  <c r="N336" i="1"/>
  <c r="B337" i="1"/>
  <c r="K337" i="1"/>
  <c r="L337" i="1"/>
  <c r="M337" i="1"/>
  <c r="N337" i="1"/>
  <c r="B338" i="1"/>
  <c r="K338" i="1"/>
  <c r="L338" i="1"/>
  <c r="M338" i="1"/>
  <c r="N338" i="1"/>
  <c r="B339" i="1"/>
  <c r="K339" i="1"/>
  <c r="L339" i="1"/>
  <c r="M339" i="1"/>
  <c r="N339" i="1"/>
  <c r="B340" i="1"/>
  <c r="K340" i="1"/>
  <c r="L340" i="1"/>
  <c r="M340" i="1"/>
  <c r="N340" i="1"/>
  <c r="B341" i="1"/>
  <c r="K341" i="1"/>
  <c r="L341" i="1"/>
  <c r="M341" i="1"/>
  <c r="N341" i="1"/>
  <c r="B342" i="1"/>
  <c r="K342" i="1"/>
  <c r="L342" i="1"/>
  <c r="M342" i="1"/>
  <c r="N342" i="1"/>
  <c r="B343" i="1"/>
  <c r="K343" i="1"/>
  <c r="L343" i="1"/>
  <c r="M343" i="1"/>
  <c r="N343" i="1"/>
  <c r="B344" i="1"/>
  <c r="K344" i="1"/>
  <c r="L344" i="1"/>
  <c r="M344" i="1"/>
  <c r="N344" i="1"/>
  <c r="B345" i="1"/>
  <c r="K345" i="1"/>
  <c r="L345" i="1"/>
  <c r="M345" i="1"/>
  <c r="N345" i="1"/>
  <c r="B346" i="1"/>
  <c r="K346" i="1"/>
  <c r="L346" i="1"/>
  <c r="M346" i="1"/>
  <c r="N346" i="1"/>
  <c r="B347" i="1"/>
  <c r="K347" i="1"/>
  <c r="L347" i="1"/>
  <c r="M347" i="1"/>
  <c r="N347" i="1"/>
  <c r="B348" i="1"/>
  <c r="K348" i="1"/>
  <c r="L348" i="1"/>
  <c r="M348" i="1"/>
  <c r="N348" i="1"/>
  <c r="B349" i="1"/>
  <c r="K349" i="1"/>
  <c r="L349" i="1"/>
  <c r="M349" i="1"/>
  <c r="N349" i="1"/>
  <c r="B350" i="1"/>
  <c r="K350" i="1"/>
  <c r="L350" i="1"/>
  <c r="M350" i="1"/>
  <c r="N350" i="1"/>
  <c r="B351" i="1"/>
  <c r="K351" i="1"/>
  <c r="L351" i="1"/>
  <c r="M351" i="1"/>
  <c r="N351" i="1"/>
  <c r="B352" i="1"/>
  <c r="K352" i="1"/>
  <c r="L352" i="1"/>
  <c r="M352" i="1"/>
  <c r="N352" i="1"/>
  <c r="B353" i="1"/>
  <c r="K353" i="1"/>
  <c r="L353" i="1"/>
  <c r="M353" i="1"/>
  <c r="N353" i="1"/>
  <c r="B354" i="1"/>
  <c r="K354" i="1"/>
  <c r="L354" i="1"/>
  <c r="M354" i="1"/>
  <c r="N354" i="1"/>
  <c r="B355" i="1"/>
  <c r="K355" i="1"/>
  <c r="L355" i="1"/>
  <c r="M355" i="1"/>
  <c r="N355" i="1"/>
  <c r="B356" i="1"/>
  <c r="K356" i="1"/>
  <c r="L356" i="1"/>
  <c r="M356" i="1"/>
  <c r="N356" i="1"/>
  <c r="B357" i="1"/>
  <c r="K357" i="1"/>
  <c r="L357" i="1"/>
  <c r="M357" i="1"/>
  <c r="N357" i="1"/>
  <c r="B358" i="1"/>
  <c r="K358" i="1"/>
  <c r="L358" i="1"/>
  <c r="M358" i="1"/>
  <c r="N358" i="1"/>
  <c r="B359" i="1"/>
  <c r="K359" i="1"/>
  <c r="L359" i="1"/>
  <c r="M359" i="1"/>
  <c r="N359" i="1"/>
  <c r="B360" i="1"/>
  <c r="K360" i="1"/>
  <c r="L360" i="1"/>
  <c r="M360" i="1"/>
  <c r="N360" i="1"/>
  <c r="B361" i="1"/>
  <c r="K361" i="1"/>
  <c r="L361" i="1"/>
  <c r="M361" i="1"/>
  <c r="N361" i="1"/>
  <c r="B362" i="1"/>
  <c r="K362" i="1"/>
  <c r="L362" i="1"/>
  <c r="M362" i="1"/>
  <c r="N362" i="1"/>
  <c r="B363" i="1"/>
  <c r="K363" i="1"/>
  <c r="L363" i="1"/>
  <c r="M363" i="1"/>
  <c r="N363" i="1"/>
  <c r="B364" i="1"/>
  <c r="K364" i="1"/>
  <c r="L364" i="1"/>
  <c r="M364" i="1"/>
  <c r="N364" i="1"/>
  <c r="B365" i="1"/>
  <c r="K365" i="1"/>
  <c r="L365" i="1"/>
  <c r="M365" i="1"/>
  <c r="N365" i="1"/>
  <c r="B366" i="1"/>
  <c r="K366" i="1"/>
  <c r="L366" i="1"/>
  <c r="M366" i="1"/>
  <c r="N366" i="1"/>
  <c r="B367" i="1"/>
  <c r="K367" i="1"/>
  <c r="L367" i="1"/>
  <c r="M367" i="1"/>
  <c r="N367" i="1"/>
  <c r="B368" i="1"/>
  <c r="K368" i="1"/>
  <c r="L368" i="1"/>
  <c r="M368" i="1"/>
  <c r="N368" i="1"/>
  <c r="B369" i="1"/>
  <c r="K369" i="1"/>
  <c r="L369" i="1"/>
  <c r="M369" i="1"/>
  <c r="N369" i="1"/>
  <c r="B370" i="1"/>
  <c r="K370" i="1"/>
  <c r="L370" i="1"/>
  <c r="M370" i="1"/>
  <c r="N370" i="1"/>
  <c r="B371" i="1"/>
  <c r="K371" i="1"/>
  <c r="L371" i="1"/>
  <c r="M371" i="1"/>
  <c r="N371" i="1"/>
  <c r="B372" i="1"/>
  <c r="K372" i="1"/>
  <c r="L372" i="1"/>
  <c r="M372" i="1"/>
  <c r="N372" i="1"/>
  <c r="B373" i="1"/>
  <c r="K373" i="1"/>
  <c r="L373" i="1"/>
  <c r="M373" i="1"/>
  <c r="N373" i="1"/>
  <c r="B374" i="1"/>
  <c r="K374" i="1"/>
  <c r="L374" i="1"/>
  <c r="M374" i="1"/>
  <c r="N374" i="1"/>
  <c r="B375" i="1"/>
  <c r="K375" i="1"/>
  <c r="L375" i="1"/>
  <c r="M375" i="1"/>
  <c r="N375" i="1"/>
  <c r="B376" i="1"/>
  <c r="K376" i="1"/>
  <c r="L376" i="1"/>
  <c r="M376" i="1"/>
  <c r="N376" i="1"/>
  <c r="B377" i="1"/>
  <c r="K377" i="1"/>
  <c r="L377" i="1"/>
  <c r="M377" i="1"/>
  <c r="N377" i="1"/>
  <c r="B378" i="1"/>
  <c r="K378" i="1"/>
  <c r="L378" i="1"/>
  <c r="M378" i="1"/>
  <c r="N378" i="1"/>
  <c r="B379" i="1"/>
  <c r="K379" i="1"/>
  <c r="L379" i="1"/>
  <c r="M379" i="1"/>
  <c r="N379" i="1"/>
  <c r="B380" i="1"/>
  <c r="K380" i="1"/>
  <c r="L380" i="1"/>
  <c r="M380" i="1"/>
  <c r="N380" i="1"/>
  <c r="B381" i="1"/>
  <c r="K381" i="1"/>
  <c r="L381" i="1"/>
  <c r="M381" i="1"/>
  <c r="N381" i="1"/>
  <c r="B382" i="1"/>
  <c r="K382" i="1"/>
  <c r="L382" i="1"/>
  <c r="M382" i="1"/>
  <c r="N382" i="1"/>
  <c r="B383" i="1"/>
  <c r="K383" i="1"/>
  <c r="L383" i="1"/>
  <c r="M383" i="1"/>
  <c r="N383" i="1"/>
  <c r="B384" i="1"/>
  <c r="K384" i="1"/>
  <c r="L384" i="1"/>
  <c r="M384" i="1"/>
  <c r="N384" i="1"/>
  <c r="B385" i="1"/>
  <c r="K385" i="1"/>
  <c r="L385" i="1"/>
  <c r="M385" i="1"/>
  <c r="N385" i="1"/>
  <c r="B386" i="1"/>
  <c r="K386" i="1"/>
  <c r="L386" i="1"/>
  <c r="M386" i="1"/>
  <c r="N386" i="1"/>
  <c r="B387" i="1"/>
  <c r="K387" i="1"/>
  <c r="L387" i="1"/>
  <c r="M387" i="1"/>
  <c r="N387" i="1"/>
  <c r="B388" i="1"/>
  <c r="K388" i="1"/>
  <c r="L388" i="1"/>
  <c r="M388" i="1"/>
  <c r="N388" i="1"/>
  <c r="B389" i="1"/>
  <c r="K389" i="1"/>
  <c r="L389" i="1"/>
  <c r="M389" i="1"/>
  <c r="N389" i="1"/>
  <c r="B390" i="1"/>
  <c r="K390" i="1"/>
  <c r="L390" i="1"/>
  <c r="M390" i="1"/>
  <c r="N390" i="1"/>
  <c r="B391" i="1"/>
  <c r="K391" i="1"/>
  <c r="L391" i="1"/>
  <c r="M391" i="1"/>
  <c r="N391" i="1"/>
  <c r="B392" i="1"/>
  <c r="K392" i="1"/>
  <c r="L392" i="1"/>
  <c r="M392" i="1"/>
  <c r="N392" i="1"/>
  <c r="B393" i="1"/>
  <c r="K393" i="1"/>
  <c r="L393" i="1"/>
  <c r="M393" i="1"/>
  <c r="N393" i="1"/>
  <c r="B394" i="1"/>
  <c r="K394" i="1"/>
  <c r="L394" i="1"/>
  <c r="M394" i="1"/>
  <c r="N394" i="1"/>
  <c r="B395" i="1"/>
  <c r="K395" i="1"/>
  <c r="L395" i="1"/>
  <c r="M395" i="1"/>
  <c r="N395" i="1"/>
  <c r="B396" i="1"/>
  <c r="K396" i="1"/>
  <c r="L396" i="1"/>
  <c r="M396" i="1"/>
  <c r="N396" i="1"/>
  <c r="B397" i="1"/>
  <c r="K397" i="1"/>
  <c r="L397" i="1"/>
  <c r="M397" i="1"/>
  <c r="N397" i="1"/>
  <c r="B398" i="1"/>
  <c r="K398" i="1"/>
  <c r="L398" i="1"/>
  <c r="M398" i="1"/>
  <c r="N398" i="1"/>
  <c r="B399" i="1"/>
  <c r="K399" i="1"/>
  <c r="L399" i="1"/>
  <c r="M399" i="1"/>
  <c r="N399" i="1"/>
  <c r="B400" i="1"/>
  <c r="K400" i="1"/>
  <c r="L400" i="1"/>
  <c r="M400" i="1"/>
  <c r="N400" i="1"/>
  <c r="B401" i="1"/>
  <c r="K401" i="1"/>
  <c r="L401" i="1"/>
  <c r="M401" i="1"/>
  <c r="N401" i="1"/>
  <c r="B402" i="1"/>
  <c r="K402" i="1"/>
  <c r="L402" i="1"/>
  <c r="M402" i="1"/>
  <c r="N402" i="1"/>
  <c r="B403" i="1"/>
  <c r="K403" i="1"/>
  <c r="L403" i="1"/>
  <c r="M403" i="1"/>
  <c r="N403" i="1"/>
  <c r="B404" i="1"/>
  <c r="K404" i="1"/>
  <c r="L404" i="1"/>
  <c r="M404" i="1"/>
  <c r="N404" i="1"/>
  <c r="B405" i="1"/>
  <c r="K405" i="1"/>
  <c r="L405" i="1"/>
  <c r="M405" i="1"/>
  <c r="N405" i="1"/>
  <c r="B406" i="1"/>
  <c r="K406" i="1"/>
  <c r="L406" i="1"/>
  <c r="M406" i="1"/>
  <c r="N406" i="1"/>
  <c r="B407" i="1"/>
  <c r="K407" i="1"/>
  <c r="L407" i="1"/>
  <c r="M407" i="1"/>
  <c r="N407" i="1"/>
  <c r="B408" i="1"/>
  <c r="K408" i="1"/>
  <c r="L408" i="1"/>
  <c r="M408" i="1"/>
  <c r="N408" i="1"/>
  <c r="B409" i="1"/>
  <c r="K409" i="1"/>
  <c r="L409" i="1"/>
  <c r="M409" i="1"/>
  <c r="N409" i="1"/>
  <c r="B410" i="1"/>
  <c r="K410" i="1"/>
  <c r="L410" i="1"/>
  <c r="M410" i="1"/>
  <c r="N410" i="1"/>
  <c r="B411" i="1"/>
  <c r="K411" i="1"/>
  <c r="L411" i="1"/>
  <c r="M411" i="1"/>
  <c r="N411" i="1"/>
  <c r="B412" i="1"/>
  <c r="K412" i="1"/>
  <c r="L412" i="1"/>
  <c r="M412" i="1"/>
  <c r="N412" i="1"/>
  <c r="B413" i="1"/>
  <c r="K413" i="1"/>
  <c r="L413" i="1"/>
  <c r="M413" i="1"/>
  <c r="N413" i="1"/>
  <c r="B414" i="1"/>
  <c r="K414" i="1"/>
  <c r="L414" i="1"/>
  <c r="M414" i="1"/>
  <c r="N414" i="1"/>
  <c r="B415" i="1"/>
  <c r="K415" i="1"/>
  <c r="L415" i="1"/>
  <c r="M415" i="1"/>
  <c r="N415" i="1"/>
  <c r="B416" i="1"/>
  <c r="K416" i="1"/>
  <c r="L416" i="1"/>
  <c r="M416" i="1"/>
  <c r="N416" i="1"/>
  <c r="B417" i="1"/>
  <c r="K417" i="1"/>
  <c r="L417" i="1"/>
  <c r="M417" i="1"/>
  <c r="N417" i="1"/>
  <c r="B418" i="1"/>
  <c r="K418" i="1"/>
  <c r="L418" i="1"/>
  <c r="M418" i="1"/>
  <c r="N418" i="1"/>
  <c r="B419" i="1"/>
  <c r="K419" i="1"/>
  <c r="L419" i="1"/>
  <c r="M419" i="1"/>
  <c r="N419" i="1"/>
  <c r="B420" i="1"/>
  <c r="K420" i="1"/>
  <c r="L420" i="1"/>
  <c r="M420" i="1"/>
  <c r="N420" i="1"/>
  <c r="B421" i="1"/>
  <c r="K421" i="1"/>
  <c r="L421" i="1"/>
  <c r="M421" i="1"/>
  <c r="N421" i="1"/>
  <c r="B422" i="1"/>
  <c r="K422" i="1"/>
  <c r="L422" i="1"/>
  <c r="M422" i="1"/>
  <c r="N422" i="1"/>
  <c r="B423" i="1"/>
  <c r="K423" i="1"/>
  <c r="L423" i="1"/>
  <c r="M423" i="1"/>
  <c r="N423" i="1"/>
  <c r="B424" i="1"/>
  <c r="K424" i="1"/>
  <c r="L424" i="1"/>
  <c r="M424" i="1"/>
  <c r="N424" i="1"/>
  <c r="B425" i="1"/>
  <c r="K425" i="1"/>
  <c r="L425" i="1"/>
  <c r="M425" i="1"/>
  <c r="N425" i="1"/>
  <c r="B426" i="1"/>
  <c r="K426" i="1"/>
  <c r="L426" i="1"/>
  <c r="M426" i="1"/>
  <c r="N426" i="1"/>
  <c r="B427" i="1"/>
  <c r="K427" i="1"/>
  <c r="L427" i="1"/>
  <c r="M427" i="1"/>
  <c r="N427" i="1"/>
  <c r="B428" i="1"/>
  <c r="K428" i="1"/>
  <c r="L428" i="1"/>
  <c r="M428" i="1"/>
  <c r="N428" i="1"/>
  <c r="B429" i="1"/>
  <c r="K429" i="1"/>
  <c r="L429" i="1"/>
  <c r="M429" i="1"/>
  <c r="N429" i="1"/>
  <c r="B430" i="1"/>
  <c r="K430" i="1"/>
  <c r="L430" i="1"/>
  <c r="M430" i="1"/>
  <c r="N430" i="1"/>
  <c r="B431" i="1"/>
  <c r="K431" i="1"/>
  <c r="L431" i="1"/>
  <c r="M431" i="1"/>
  <c r="N431" i="1"/>
  <c r="B432" i="1"/>
  <c r="K432" i="1"/>
  <c r="L432" i="1"/>
  <c r="M432" i="1"/>
  <c r="N432" i="1"/>
  <c r="B433" i="1"/>
  <c r="K433" i="1"/>
  <c r="L433" i="1"/>
  <c r="M433" i="1"/>
  <c r="N433" i="1"/>
  <c r="B434" i="1"/>
  <c r="K434" i="1"/>
  <c r="L434" i="1"/>
  <c r="M434" i="1"/>
  <c r="N434" i="1"/>
  <c r="B435" i="1"/>
  <c r="K435" i="1"/>
  <c r="L435" i="1"/>
  <c r="M435" i="1"/>
  <c r="N435" i="1"/>
  <c r="B436" i="1"/>
  <c r="K436" i="1"/>
  <c r="L436" i="1"/>
  <c r="M436" i="1"/>
  <c r="N436" i="1"/>
  <c r="B437" i="1"/>
  <c r="K437" i="1"/>
  <c r="L437" i="1"/>
  <c r="M437" i="1"/>
  <c r="N437" i="1"/>
  <c r="B438" i="1"/>
  <c r="K438" i="1"/>
  <c r="L438" i="1"/>
  <c r="M438" i="1"/>
  <c r="N438" i="1"/>
  <c r="B439" i="1"/>
  <c r="K439" i="1"/>
  <c r="L439" i="1"/>
  <c r="M439" i="1"/>
  <c r="N439" i="1"/>
  <c r="B440" i="1"/>
  <c r="K440" i="1"/>
  <c r="L440" i="1"/>
  <c r="M440" i="1"/>
  <c r="N440" i="1"/>
  <c r="B441" i="1"/>
  <c r="K441" i="1"/>
  <c r="L441" i="1"/>
  <c r="M441" i="1"/>
  <c r="N441" i="1"/>
  <c r="B442" i="1"/>
  <c r="K442" i="1"/>
  <c r="L442" i="1"/>
  <c r="M442" i="1"/>
  <c r="N442" i="1"/>
  <c r="B443" i="1"/>
  <c r="K443" i="1"/>
  <c r="L443" i="1"/>
  <c r="M443" i="1"/>
  <c r="N443" i="1"/>
  <c r="B444" i="1"/>
  <c r="K444" i="1"/>
  <c r="L444" i="1"/>
  <c r="M444" i="1"/>
  <c r="N444" i="1"/>
  <c r="B445" i="1"/>
  <c r="K445" i="1"/>
  <c r="L445" i="1"/>
  <c r="M445" i="1"/>
  <c r="N445" i="1"/>
  <c r="B446" i="1"/>
  <c r="K446" i="1"/>
  <c r="L446" i="1"/>
  <c r="M446" i="1"/>
  <c r="N446" i="1"/>
  <c r="B447" i="1"/>
  <c r="K447" i="1"/>
  <c r="L447" i="1"/>
  <c r="M447" i="1"/>
  <c r="N447" i="1"/>
  <c r="B448" i="1"/>
  <c r="K448" i="1"/>
  <c r="L448" i="1"/>
  <c r="M448" i="1"/>
  <c r="N448" i="1"/>
  <c r="B449" i="1"/>
  <c r="K449" i="1"/>
  <c r="L449" i="1"/>
  <c r="M449" i="1"/>
  <c r="N449" i="1"/>
  <c r="B450" i="1"/>
  <c r="K450" i="1"/>
  <c r="L450" i="1"/>
  <c r="M450" i="1"/>
  <c r="N450" i="1"/>
  <c r="B451" i="1"/>
  <c r="K451" i="1"/>
  <c r="L451" i="1"/>
  <c r="M451" i="1"/>
  <c r="N451" i="1"/>
  <c r="B452" i="1"/>
  <c r="K452" i="1"/>
  <c r="L452" i="1"/>
  <c r="M452" i="1"/>
  <c r="N452" i="1"/>
  <c r="B453" i="1"/>
  <c r="K453" i="1"/>
  <c r="L453" i="1"/>
  <c r="M453" i="1"/>
  <c r="N453" i="1"/>
  <c r="B454" i="1"/>
  <c r="K454" i="1"/>
  <c r="L454" i="1"/>
  <c r="M454" i="1"/>
  <c r="N454" i="1"/>
  <c r="B455" i="1"/>
  <c r="K455" i="1"/>
  <c r="L455" i="1"/>
  <c r="M455" i="1"/>
  <c r="N455" i="1"/>
  <c r="B456" i="1"/>
  <c r="K456" i="1"/>
  <c r="L456" i="1"/>
  <c r="M456" i="1"/>
  <c r="N456" i="1"/>
  <c r="B457" i="1"/>
  <c r="K457" i="1"/>
  <c r="L457" i="1"/>
  <c r="M457" i="1"/>
  <c r="N457" i="1"/>
  <c r="B458" i="1"/>
  <c r="K458" i="1"/>
  <c r="L458" i="1"/>
  <c r="M458" i="1"/>
  <c r="N458" i="1"/>
  <c r="B459" i="1"/>
  <c r="K459" i="1"/>
  <c r="L459" i="1"/>
  <c r="M459" i="1"/>
  <c r="N459" i="1"/>
  <c r="B460" i="1"/>
  <c r="K460" i="1"/>
  <c r="L460" i="1"/>
  <c r="M460" i="1"/>
  <c r="N460" i="1"/>
  <c r="B461" i="1"/>
  <c r="K461" i="1"/>
  <c r="L461" i="1"/>
  <c r="M461" i="1"/>
  <c r="N461" i="1"/>
  <c r="B462" i="1"/>
  <c r="K462" i="1"/>
  <c r="L462" i="1"/>
  <c r="M462" i="1"/>
  <c r="N462" i="1"/>
  <c r="B463" i="1"/>
  <c r="K463" i="1"/>
  <c r="L463" i="1"/>
  <c r="M463" i="1"/>
  <c r="N463" i="1"/>
  <c r="B464" i="1"/>
  <c r="K464" i="1"/>
  <c r="L464" i="1"/>
  <c r="M464" i="1"/>
  <c r="N464" i="1"/>
  <c r="B465" i="1"/>
  <c r="K465" i="1"/>
  <c r="L465" i="1"/>
  <c r="M465" i="1"/>
  <c r="N465" i="1"/>
  <c r="B466" i="1"/>
  <c r="K466" i="1"/>
  <c r="L466" i="1"/>
  <c r="M466" i="1"/>
  <c r="N466" i="1"/>
  <c r="B467" i="1"/>
  <c r="K467" i="1"/>
  <c r="L467" i="1"/>
  <c r="M467" i="1"/>
  <c r="N467" i="1"/>
  <c r="B468" i="1"/>
  <c r="K468" i="1"/>
  <c r="L468" i="1"/>
  <c r="M468" i="1"/>
  <c r="N468" i="1"/>
  <c r="B469" i="1"/>
  <c r="K469" i="1"/>
  <c r="L469" i="1"/>
  <c r="M469" i="1"/>
  <c r="N469" i="1"/>
  <c r="B470" i="1"/>
  <c r="K470" i="1"/>
  <c r="L470" i="1"/>
  <c r="M470" i="1"/>
  <c r="N470" i="1"/>
  <c r="B471" i="1"/>
  <c r="K471" i="1"/>
  <c r="L471" i="1"/>
  <c r="M471" i="1"/>
  <c r="N471" i="1"/>
  <c r="B472" i="1"/>
  <c r="K472" i="1"/>
  <c r="L472" i="1"/>
  <c r="M472" i="1"/>
  <c r="N472" i="1"/>
  <c r="B473" i="1"/>
  <c r="K473" i="1"/>
  <c r="L473" i="1"/>
  <c r="M473" i="1"/>
  <c r="N473" i="1"/>
  <c r="B474" i="1"/>
  <c r="K474" i="1"/>
  <c r="L474" i="1"/>
  <c r="M474" i="1"/>
  <c r="N474" i="1"/>
  <c r="B475" i="1"/>
  <c r="K475" i="1"/>
  <c r="L475" i="1"/>
  <c r="M475" i="1"/>
  <c r="N475" i="1"/>
  <c r="B476" i="1"/>
  <c r="K476" i="1"/>
  <c r="L476" i="1"/>
  <c r="M476" i="1"/>
  <c r="N476" i="1"/>
  <c r="B477" i="1"/>
  <c r="K477" i="1"/>
  <c r="L477" i="1"/>
  <c r="M477" i="1"/>
  <c r="N477" i="1"/>
  <c r="B478" i="1"/>
  <c r="K478" i="1"/>
  <c r="L478" i="1"/>
  <c r="M478" i="1"/>
  <c r="N478" i="1"/>
  <c r="B479" i="1"/>
  <c r="K479" i="1"/>
  <c r="L479" i="1"/>
  <c r="M479" i="1"/>
  <c r="N479" i="1"/>
  <c r="B480" i="1"/>
  <c r="K480" i="1"/>
  <c r="L480" i="1"/>
  <c r="M480" i="1"/>
  <c r="N480" i="1"/>
  <c r="B481" i="1"/>
  <c r="K481" i="1"/>
  <c r="L481" i="1"/>
  <c r="M481" i="1"/>
  <c r="N481" i="1"/>
  <c r="B482" i="1"/>
  <c r="K482" i="1"/>
  <c r="L482" i="1"/>
  <c r="M482" i="1"/>
  <c r="N482" i="1"/>
  <c r="B483" i="1"/>
  <c r="K483" i="1"/>
  <c r="L483" i="1"/>
  <c r="M483" i="1"/>
  <c r="N483" i="1"/>
  <c r="B484" i="1"/>
  <c r="K484" i="1"/>
  <c r="L484" i="1"/>
  <c r="M484" i="1"/>
  <c r="N484" i="1"/>
  <c r="B485" i="1"/>
  <c r="K485" i="1"/>
  <c r="L485" i="1"/>
  <c r="M485" i="1"/>
  <c r="N485" i="1"/>
  <c r="B486" i="1"/>
  <c r="K486" i="1"/>
  <c r="L486" i="1"/>
  <c r="M486" i="1"/>
  <c r="N486" i="1"/>
  <c r="B487" i="1"/>
  <c r="K487" i="1"/>
  <c r="L487" i="1"/>
  <c r="M487" i="1"/>
  <c r="N487" i="1"/>
  <c r="B488" i="1"/>
  <c r="K488" i="1"/>
  <c r="L488" i="1"/>
  <c r="M488" i="1"/>
  <c r="N488" i="1"/>
  <c r="B489" i="1"/>
  <c r="K489" i="1"/>
  <c r="L489" i="1"/>
  <c r="M489" i="1"/>
  <c r="N489" i="1"/>
  <c r="B490" i="1"/>
  <c r="K490" i="1"/>
  <c r="L490" i="1"/>
  <c r="M490" i="1"/>
  <c r="N490" i="1"/>
  <c r="B491" i="1"/>
  <c r="K491" i="1"/>
  <c r="L491" i="1"/>
  <c r="M491" i="1"/>
  <c r="N491" i="1"/>
  <c r="B492" i="1"/>
  <c r="K492" i="1"/>
  <c r="L492" i="1"/>
  <c r="M492" i="1"/>
  <c r="N492" i="1"/>
  <c r="B493" i="1"/>
  <c r="K493" i="1"/>
  <c r="L493" i="1"/>
  <c r="M493" i="1"/>
  <c r="N493" i="1"/>
  <c r="B494" i="1"/>
  <c r="K494" i="1"/>
  <c r="L494" i="1"/>
  <c r="M494" i="1"/>
  <c r="N494" i="1"/>
  <c r="B495" i="1"/>
  <c r="K495" i="1"/>
  <c r="L495" i="1"/>
  <c r="M495" i="1"/>
  <c r="N495" i="1"/>
  <c r="B496" i="1"/>
  <c r="K496" i="1"/>
  <c r="L496" i="1"/>
  <c r="M496" i="1"/>
  <c r="N496" i="1"/>
  <c r="B497" i="1"/>
  <c r="K497" i="1"/>
  <c r="L497" i="1"/>
  <c r="M497" i="1"/>
  <c r="N497" i="1"/>
  <c r="B498" i="1"/>
  <c r="K498" i="1"/>
  <c r="L498" i="1"/>
  <c r="M498" i="1"/>
  <c r="N498" i="1"/>
  <c r="B499" i="1"/>
  <c r="K499" i="1"/>
  <c r="L499" i="1"/>
  <c r="M499" i="1"/>
  <c r="N499" i="1"/>
  <c r="B500" i="1"/>
  <c r="K500" i="1"/>
  <c r="L500" i="1"/>
  <c r="M500" i="1"/>
  <c r="N500" i="1"/>
  <c r="B501" i="1"/>
  <c r="K501" i="1"/>
  <c r="L501" i="1"/>
  <c r="M501" i="1"/>
  <c r="N501" i="1"/>
  <c r="B502" i="1"/>
  <c r="K502" i="1"/>
  <c r="L502" i="1"/>
  <c r="M502" i="1"/>
  <c r="N502" i="1"/>
  <c r="B503" i="1"/>
  <c r="K503" i="1"/>
  <c r="L503" i="1"/>
  <c r="M503" i="1"/>
  <c r="N503" i="1"/>
  <c r="B504" i="1"/>
  <c r="K504" i="1"/>
  <c r="L504" i="1"/>
  <c r="M504" i="1"/>
  <c r="N504" i="1"/>
  <c r="B505" i="1"/>
  <c r="K505" i="1"/>
  <c r="L505" i="1"/>
  <c r="M505" i="1"/>
  <c r="N505" i="1"/>
  <c r="B506" i="1"/>
  <c r="K506" i="1"/>
  <c r="L506" i="1"/>
  <c r="M506" i="1"/>
  <c r="N506" i="1"/>
  <c r="B507" i="1"/>
  <c r="K507" i="1"/>
  <c r="L507" i="1"/>
  <c r="M507" i="1"/>
  <c r="N507" i="1"/>
  <c r="B508" i="1"/>
  <c r="K508" i="1"/>
  <c r="L508" i="1"/>
  <c r="M508" i="1"/>
  <c r="N508" i="1"/>
  <c r="B509" i="1"/>
  <c r="K509" i="1"/>
  <c r="L509" i="1"/>
  <c r="M509" i="1"/>
  <c r="N509" i="1"/>
  <c r="B510" i="1"/>
  <c r="K510" i="1"/>
  <c r="L510" i="1"/>
  <c r="M510" i="1"/>
  <c r="N510" i="1"/>
  <c r="B511" i="1"/>
  <c r="K511" i="1"/>
  <c r="L511" i="1"/>
  <c r="M511" i="1"/>
  <c r="N511" i="1"/>
  <c r="B512" i="1"/>
  <c r="K512" i="1"/>
  <c r="L512" i="1"/>
  <c r="M512" i="1"/>
  <c r="N512" i="1"/>
  <c r="B513" i="1"/>
  <c r="K513" i="1"/>
  <c r="L513" i="1"/>
  <c r="M513" i="1"/>
  <c r="N513" i="1"/>
  <c r="B514" i="1"/>
  <c r="K514" i="1"/>
  <c r="L514" i="1"/>
  <c r="M514" i="1"/>
  <c r="N514" i="1"/>
  <c r="B515" i="1"/>
  <c r="K515" i="1"/>
  <c r="L515" i="1"/>
  <c r="M515" i="1"/>
  <c r="N515" i="1"/>
  <c r="B516" i="1"/>
  <c r="K516" i="1"/>
  <c r="L516" i="1"/>
  <c r="M516" i="1"/>
  <c r="N516" i="1"/>
  <c r="B517" i="1"/>
  <c r="K517" i="1"/>
  <c r="L517" i="1"/>
  <c r="M517" i="1"/>
  <c r="N517" i="1"/>
  <c r="B518" i="1"/>
  <c r="K518" i="1"/>
  <c r="L518" i="1"/>
  <c r="M518" i="1"/>
  <c r="N518" i="1"/>
  <c r="B519" i="1"/>
  <c r="K519" i="1"/>
  <c r="L519" i="1"/>
  <c r="M519" i="1"/>
  <c r="N519" i="1"/>
  <c r="B520" i="1"/>
  <c r="K520" i="1"/>
  <c r="L520" i="1"/>
  <c r="M520" i="1"/>
  <c r="N520" i="1"/>
  <c r="B521" i="1"/>
  <c r="K521" i="1"/>
  <c r="L521" i="1"/>
  <c r="M521" i="1"/>
  <c r="N521" i="1"/>
  <c r="B522" i="1"/>
  <c r="K522" i="1"/>
  <c r="L522" i="1"/>
  <c r="M522" i="1"/>
  <c r="N522" i="1"/>
  <c r="B523" i="1"/>
  <c r="K523" i="1"/>
  <c r="L523" i="1"/>
  <c r="M523" i="1"/>
  <c r="N523" i="1"/>
  <c r="B524" i="1"/>
  <c r="K524" i="1"/>
  <c r="L524" i="1"/>
  <c r="M524" i="1"/>
  <c r="N524" i="1"/>
  <c r="B525" i="1"/>
  <c r="K525" i="1"/>
  <c r="L525" i="1"/>
  <c r="M525" i="1"/>
  <c r="N525" i="1"/>
  <c r="B526" i="1"/>
  <c r="K526" i="1"/>
  <c r="L526" i="1"/>
  <c r="M526" i="1"/>
  <c r="N526" i="1"/>
  <c r="B527" i="1"/>
  <c r="K527" i="1"/>
  <c r="L527" i="1"/>
  <c r="M527" i="1"/>
  <c r="N527" i="1"/>
  <c r="B528" i="1"/>
  <c r="K528" i="1"/>
  <c r="L528" i="1"/>
  <c r="M528" i="1"/>
  <c r="N528" i="1"/>
  <c r="B529" i="1"/>
  <c r="K529" i="1"/>
  <c r="L529" i="1"/>
  <c r="M529" i="1"/>
  <c r="N529" i="1"/>
  <c r="B530" i="1"/>
  <c r="K530" i="1"/>
  <c r="L530" i="1"/>
  <c r="M530" i="1"/>
  <c r="N530" i="1"/>
  <c r="B531" i="1"/>
  <c r="K531" i="1"/>
  <c r="L531" i="1"/>
  <c r="M531" i="1"/>
  <c r="N531" i="1"/>
  <c r="B532" i="1"/>
  <c r="K532" i="1"/>
  <c r="L532" i="1"/>
  <c r="M532" i="1"/>
  <c r="N532" i="1"/>
  <c r="B533" i="1"/>
  <c r="K533" i="1"/>
  <c r="L533" i="1"/>
  <c r="M533" i="1"/>
  <c r="N533" i="1"/>
  <c r="B534" i="1"/>
  <c r="K534" i="1"/>
  <c r="L534" i="1"/>
  <c r="M534" i="1"/>
  <c r="N534" i="1"/>
  <c r="B535" i="1"/>
  <c r="K535" i="1"/>
  <c r="L535" i="1"/>
  <c r="M535" i="1"/>
  <c r="N535" i="1"/>
  <c r="B536" i="1"/>
  <c r="K536" i="1"/>
  <c r="L536" i="1"/>
  <c r="M536" i="1"/>
  <c r="N536" i="1"/>
  <c r="B537" i="1"/>
  <c r="K537" i="1"/>
  <c r="L537" i="1"/>
  <c r="M537" i="1"/>
  <c r="N537" i="1"/>
  <c r="B538" i="1"/>
  <c r="K538" i="1"/>
  <c r="L538" i="1"/>
  <c r="M538" i="1"/>
  <c r="N538" i="1"/>
  <c r="B539" i="1"/>
  <c r="K539" i="1"/>
  <c r="L539" i="1"/>
  <c r="M539" i="1"/>
  <c r="N539" i="1"/>
  <c r="B540" i="1"/>
  <c r="K540" i="1"/>
  <c r="L540" i="1"/>
  <c r="M540" i="1"/>
  <c r="N540" i="1"/>
  <c r="B541" i="1"/>
  <c r="K541" i="1"/>
  <c r="L541" i="1"/>
  <c r="M541" i="1"/>
  <c r="N541" i="1"/>
  <c r="B542" i="1"/>
  <c r="K542" i="1"/>
  <c r="L542" i="1"/>
  <c r="M542" i="1"/>
  <c r="N542" i="1"/>
  <c r="B543" i="1"/>
  <c r="K543" i="1"/>
  <c r="L543" i="1"/>
  <c r="M543" i="1"/>
  <c r="N543" i="1"/>
  <c r="B544" i="1"/>
  <c r="K544" i="1"/>
  <c r="L544" i="1"/>
  <c r="M544" i="1"/>
  <c r="N544" i="1"/>
  <c r="B545" i="1"/>
  <c r="K545" i="1"/>
  <c r="L545" i="1"/>
  <c r="M545" i="1"/>
  <c r="N545" i="1"/>
  <c r="B546" i="1"/>
  <c r="K546" i="1"/>
  <c r="L546" i="1"/>
  <c r="M546" i="1"/>
  <c r="N546" i="1"/>
  <c r="B547" i="1"/>
  <c r="K547" i="1"/>
  <c r="L547" i="1"/>
  <c r="M547" i="1"/>
  <c r="N547" i="1"/>
  <c r="B548" i="1"/>
  <c r="K548" i="1"/>
  <c r="L548" i="1"/>
  <c r="M548" i="1"/>
  <c r="N548" i="1"/>
  <c r="B549" i="1"/>
  <c r="K549" i="1"/>
  <c r="L549" i="1"/>
  <c r="M549" i="1"/>
  <c r="N549" i="1"/>
  <c r="B550" i="1"/>
  <c r="K550" i="1"/>
  <c r="L550" i="1"/>
  <c r="M550" i="1"/>
  <c r="N550" i="1"/>
  <c r="B551" i="1"/>
  <c r="K551" i="1"/>
  <c r="L551" i="1"/>
  <c r="M551" i="1"/>
  <c r="N551" i="1"/>
  <c r="B552" i="1"/>
  <c r="K552" i="1"/>
  <c r="L552" i="1"/>
  <c r="M552" i="1"/>
  <c r="N552" i="1"/>
  <c r="B553" i="1"/>
  <c r="K553" i="1"/>
  <c r="L553" i="1"/>
  <c r="M553" i="1"/>
  <c r="N553" i="1"/>
  <c r="B554" i="1"/>
  <c r="K554" i="1"/>
  <c r="L554" i="1"/>
  <c r="M554" i="1"/>
  <c r="N554" i="1"/>
  <c r="B555" i="1"/>
  <c r="K555" i="1"/>
  <c r="L555" i="1"/>
  <c r="M555" i="1"/>
  <c r="N555" i="1"/>
  <c r="B556" i="1"/>
  <c r="K556" i="1"/>
  <c r="L556" i="1"/>
  <c r="M556" i="1"/>
  <c r="N556" i="1"/>
  <c r="B557" i="1"/>
  <c r="K557" i="1"/>
  <c r="L557" i="1"/>
  <c r="M557" i="1"/>
  <c r="N557" i="1"/>
  <c r="B558" i="1"/>
  <c r="K558" i="1"/>
  <c r="L558" i="1"/>
  <c r="M558" i="1"/>
  <c r="N558" i="1"/>
  <c r="B559" i="1"/>
  <c r="K559" i="1"/>
  <c r="L559" i="1"/>
  <c r="M559" i="1"/>
  <c r="N559" i="1"/>
  <c r="B560" i="1"/>
  <c r="K560" i="1"/>
  <c r="L560" i="1"/>
  <c r="M560" i="1"/>
  <c r="N560" i="1"/>
  <c r="B561" i="1"/>
  <c r="K561" i="1"/>
  <c r="L561" i="1"/>
  <c r="M561" i="1"/>
  <c r="N561" i="1"/>
  <c r="B562" i="1"/>
  <c r="K562" i="1"/>
  <c r="L562" i="1"/>
  <c r="M562" i="1"/>
  <c r="N562" i="1"/>
  <c r="B563" i="1"/>
  <c r="K563" i="1"/>
  <c r="L563" i="1"/>
  <c r="M563" i="1"/>
  <c r="N563" i="1"/>
  <c r="B564" i="1"/>
  <c r="K564" i="1"/>
  <c r="L564" i="1"/>
  <c r="M564" i="1"/>
  <c r="N564" i="1"/>
  <c r="B565" i="1"/>
  <c r="K565" i="1"/>
  <c r="L565" i="1"/>
  <c r="M565" i="1"/>
  <c r="N565" i="1"/>
  <c r="B566" i="1"/>
  <c r="K566" i="1"/>
  <c r="L566" i="1"/>
  <c r="M566" i="1"/>
  <c r="N566" i="1"/>
  <c r="B567" i="1"/>
  <c r="K567" i="1"/>
  <c r="L567" i="1"/>
  <c r="M567" i="1"/>
  <c r="N567" i="1"/>
  <c r="B568" i="1"/>
  <c r="K568" i="1"/>
  <c r="L568" i="1"/>
  <c r="M568" i="1"/>
  <c r="N568" i="1"/>
  <c r="B569" i="1"/>
  <c r="K569" i="1"/>
  <c r="L569" i="1"/>
  <c r="M569" i="1"/>
  <c r="N569" i="1"/>
  <c r="B570" i="1"/>
  <c r="K570" i="1"/>
  <c r="L570" i="1"/>
  <c r="M570" i="1"/>
  <c r="N570" i="1"/>
  <c r="B571" i="1"/>
  <c r="K571" i="1"/>
  <c r="L571" i="1"/>
  <c r="M571" i="1"/>
  <c r="N571" i="1"/>
  <c r="B572" i="1"/>
  <c r="K572" i="1"/>
  <c r="L572" i="1"/>
  <c r="M572" i="1"/>
  <c r="N572" i="1"/>
  <c r="B573" i="1"/>
  <c r="K573" i="1"/>
  <c r="L573" i="1"/>
  <c r="M573" i="1"/>
  <c r="N573" i="1"/>
  <c r="B574" i="1"/>
  <c r="K574" i="1"/>
  <c r="L574" i="1"/>
  <c r="M574" i="1"/>
  <c r="N574" i="1"/>
  <c r="B575" i="1"/>
  <c r="K575" i="1"/>
  <c r="L575" i="1"/>
  <c r="M575" i="1"/>
  <c r="N575" i="1"/>
  <c r="B576" i="1"/>
  <c r="K576" i="1"/>
  <c r="L576" i="1"/>
  <c r="M576" i="1"/>
  <c r="N576" i="1"/>
  <c r="B577" i="1"/>
  <c r="K577" i="1"/>
  <c r="L577" i="1"/>
  <c r="M577" i="1"/>
  <c r="N577" i="1"/>
  <c r="B578" i="1"/>
  <c r="K578" i="1"/>
  <c r="L578" i="1"/>
  <c r="M578" i="1"/>
  <c r="N578" i="1"/>
  <c r="B579" i="1"/>
  <c r="K579" i="1"/>
  <c r="L579" i="1"/>
  <c r="M579" i="1"/>
  <c r="N579" i="1"/>
  <c r="B580" i="1"/>
  <c r="K580" i="1"/>
  <c r="L580" i="1"/>
  <c r="M580" i="1"/>
  <c r="N580" i="1"/>
  <c r="B581" i="1"/>
  <c r="K581" i="1"/>
  <c r="L581" i="1"/>
  <c r="M581" i="1"/>
  <c r="N581" i="1"/>
  <c r="B582" i="1"/>
  <c r="K582" i="1"/>
  <c r="L582" i="1"/>
  <c r="M582" i="1"/>
  <c r="N582" i="1"/>
  <c r="B583" i="1"/>
  <c r="K583" i="1"/>
  <c r="L583" i="1"/>
  <c r="M583" i="1"/>
  <c r="N583" i="1"/>
  <c r="B584" i="1"/>
  <c r="K584" i="1"/>
  <c r="L584" i="1"/>
  <c r="M584" i="1"/>
  <c r="N584" i="1"/>
  <c r="B585" i="1"/>
  <c r="K585" i="1"/>
  <c r="L585" i="1"/>
  <c r="M585" i="1"/>
  <c r="N585" i="1"/>
  <c r="B586" i="1"/>
  <c r="K586" i="1"/>
  <c r="L586" i="1"/>
  <c r="M586" i="1"/>
  <c r="N586" i="1"/>
  <c r="B587" i="1"/>
  <c r="K587" i="1"/>
  <c r="L587" i="1"/>
  <c r="M587" i="1"/>
  <c r="N587" i="1"/>
  <c r="B588" i="1"/>
  <c r="K588" i="1"/>
  <c r="L588" i="1"/>
  <c r="M588" i="1"/>
  <c r="N588" i="1"/>
  <c r="B589" i="1"/>
  <c r="K589" i="1"/>
  <c r="L589" i="1"/>
  <c r="M589" i="1"/>
  <c r="N589" i="1"/>
  <c r="B590" i="1"/>
  <c r="K590" i="1"/>
  <c r="L590" i="1"/>
  <c r="M590" i="1"/>
  <c r="N590" i="1"/>
  <c r="B591" i="1"/>
  <c r="K591" i="1"/>
  <c r="L591" i="1"/>
  <c r="M591" i="1"/>
  <c r="N591" i="1"/>
  <c r="B592" i="1"/>
  <c r="K592" i="1"/>
  <c r="L592" i="1"/>
  <c r="M592" i="1"/>
  <c r="N592" i="1"/>
  <c r="B593" i="1"/>
  <c r="K593" i="1"/>
  <c r="L593" i="1"/>
  <c r="M593" i="1"/>
  <c r="N593" i="1"/>
  <c r="B594" i="1"/>
  <c r="K594" i="1"/>
  <c r="L594" i="1"/>
  <c r="M594" i="1"/>
  <c r="N594" i="1"/>
  <c r="B595" i="1"/>
  <c r="K595" i="1"/>
  <c r="L595" i="1"/>
  <c r="M595" i="1"/>
  <c r="N595" i="1"/>
  <c r="B596" i="1"/>
  <c r="K596" i="1"/>
  <c r="L596" i="1"/>
  <c r="M596" i="1"/>
  <c r="N596" i="1"/>
  <c r="B597" i="1"/>
  <c r="K597" i="1"/>
  <c r="L597" i="1"/>
  <c r="M597" i="1"/>
  <c r="N597" i="1"/>
  <c r="B598" i="1"/>
  <c r="K598" i="1"/>
  <c r="L598" i="1"/>
  <c r="M598" i="1"/>
  <c r="N598" i="1"/>
  <c r="B599" i="1"/>
  <c r="K599" i="1"/>
  <c r="L599" i="1"/>
  <c r="M599" i="1"/>
  <c r="N599" i="1"/>
  <c r="B600" i="1"/>
  <c r="K600" i="1"/>
  <c r="L600" i="1"/>
  <c r="M600" i="1"/>
  <c r="N600" i="1"/>
  <c r="B601" i="1"/>
  <c r="K601" i="1"/>
  <c r="L601" i="1"/>
  <c r="M601" i="1"/>
  <c r="N601" i="1"/>
  <c r="B602" i="1"/>
  <c r="K602" i="1"/>
  <c r="L602" i="1"/>
  <c r="M602" i="1"/>
  <c r="N602" i="1"/>
  <c r="B603" i="1"/>
  <c r="K603" i="1"/>
  <c r="L603" i="1"/>
  <c r="M603" i="1"/>
  <c r="N603" i="1"/>
  <c r="B604" i="1"/>
  <c r="K604" i="1"/>
  <c r="L604" i="1"/>
  <c r="M604" i="1"/>
  <c r="N604" i="1"/>
  <c r="B605" i="1"/>
  <c r="K605" i="1"/>
  <c r="L605" i="1"/>
  <c r="M605" i="1"/>
  <c r="N605" i="1"/>
  <c r="B606" i="1"/>
  <c r="K606" i="1"/>
  <c r="L606" i="1"/>
  <c r="M606" i="1"/>
  <c r="N606" i="1"/>
  <c r="B607" i="1"/>
  <c r="K607" i="1"/>
  <c r="L607" i="1"/>
  <c r="M607" i="1"/>
  <c r="N607" i="1"/>
  <c r="B608" i="1"/>
  <c r="K608" i="1"/>
  <c r="L608" i="1"/>
  <c r="M608" i="1"/>
  <c r="N608" i="1"/>
  <c r="B609" i="1"/>
  <c r="K609" i="1"/>
  <c r="L609" i="1"/>
  <c r="M609" i="1"/>
  <c r="N609" i="1"/>
  <c r="B610" i="1"/>
  <c r="K610" i="1"/>
  <c r="L610" i="1"/>
  <c r="M610" i="1"/>
  <c r="N610" i="1"/>
  <c r="B611" i="1"/>
  <c r="K611" i="1"/>
  <c r="L611" i="1"/>
  <c r="M611" i="1"/>
  <c r="N611" i="1"/>
  <c r="B612" i="1"/>
  <c r="K612" i="1"/>
  <c r="L612" i="1"/>
  <c r="M612" i="1"/>
  <c r="N612" i="1"/>
  <c r="B613" i="1"/>
  <c r="K613" i="1"/>
  <c r="L613" i="1"/>
  <c r="M613" i="1"/>
  <c r="N613" i="1"/>
  <c r="B614" i="1"/>
  <c r="K614" i="1"/>
  <c r="L614" i="1"/>
  <c r="M614" i="1"/>
  <c r="N614" i="1"/>
  <c r="B615" i="1"/>
  <c r="K615" i="1"/>
  <c r="L615" i="1"/>
  <c r="M615" i="1"/>
  <c r="N615" i="1"/>
  <c r="B616" i="1"/>
  <c r="K616" i="1"/>
  <c r="L616" i="1"/>
  <c r="M616" i="1"/>
  <c r="N616" i="1"/>
  <c r="B617" i="1"/>
  <c r="K617" i="1"/>
  <c r="L617" i="1"/>
  <c r="M617" i="1"/>
  <c r="N617" i="1"/>
  <c r="B618" i="1"/>
  <c r="K618" i="1"/>
  <c r="L618" i="1"/>
  <c r="M618" i="1"/>
  <c r="N618" i="1"/>
  <c r="B619" i="1"/>
  <c r="K619" i="1"/>
  <c r="L619" i="1"/>
  <c r="M619" i="1"/>
  <c r="N619" i="1"/>
  <c r="B620" i="1"/>
  <c r="K620" i="1"/>
  <c r="L620" i="1"/>
  <c r="M620" i="1"/>
  <c r="N620" i="1"/>
  <c r="B621" i="1"/>
  <c r="K621" i="1"/>
  <c r="L621" i="1"/>
  <c r="M621" i="1"/>
  <c r="N621" i="1"/>
  <c r="B622" i="1"/>
  <c r="K622" i="1"/>
  <c r="L622" i="1"/>
  <c r="M622" i="1"/>
  <c r="N622" i="1"/>
  <c r="B623" i="1"/>
  <c r="K623" i="1"/>
  <c r="L623" i="1"/>
  <c r="M623" i="1"/>
  <c r="N623" i="1"/>
  <c r="B624" i="1"/>
  <c r="K624" i="1"/>
  <c r="L624" i="1"/>
  <c r="M624" i="1"/>
  <c r="N624" i="1"/>
  <c r="B625" i="1"/>
  <c r="K625" i="1"/>
  <c r="L625" i="1"/>
  <c r="M625" i="1"/>
  <c r="N625" i="1"/>
  <c r="B626" i="1"/>
  <c r="K626" i="1"/>
  <c r="L626" i="1"/>
  <c r="M626" i="1"/>
  <c r="N626" i="1"/>
  <c r="B627" i="1"/>
  <c r="K627" i="1"/>
  <c r="L627" i="1"/>
  <c r="M627" i="1"/>
  <c r="N627" i="1"/>
  <c r="B628" i="1"/>
  <c r="K628" i="1"/>
  <c r="L628" i="1"/>
  <c r="M628" i="1"/>
  <c r="N628" i="1"/>
  <c r="B629" i="1"/>
  <c r="K629" i="1"/>
  <c r="L629" i="1"/>
  <c r="M629" i="1"/>
  <c r="N629" i="1"/>
  <c r="B630" i="1"/>
  <c r="K630" i="1"/>
  <c r="L630" i="1"/>
  <c r="M630" i="1"/>
  <c r="N630" i="1"/>
  <c r="B631" i="1"/>
  <c r="K631" i="1"/>
  <c r="L631" i="1"/>
  <c r="M631" i="1"/>
  <c r="N631" i="1"/>
  <c r="B632" i="1"/>
  <c r="K632" i="1"/>
  <c r="L632" i="1"/>
  <c r="M632" i="1"/>
  <c r="N632" i="1"/>
  <c r="B633" i="1"/>
  <c r="K633" i="1"/>
  <c r="L633" i="1"/>
  <c r="M633" i="1"/>
  <c r="N633" i="1"/>
  <c r="B634" i="1"/>
  <c r="K634" i="1"/>
  <c r="L634" i="1"/>
  <c r="M634" i="1"/>
  <c r="N634" i="1"/>
  <c r="B635" i="1"/>
  <c r="K635" i="1"/>
  <c r="L635" i="1"/>
  <c r="M635" i="1"/>
  <c r="N635" i="1"/>
  <c r="B636" i="1"/>
  <c r="K636" i="1"/>
  <c r="L636" i="1"/>
  <c r="M636" i="1"/>
  <c r="N636" i="1"/>
  <c r="B637" i="1"/>
  <c r="K637" i="1"/>
  <c r="L637" i="1"/>
  <c r="M637" i="1"/>
  <c r="N637" i="1"/>
  <c r="B638" i="1"/>
  <c r="K638" i="1"/>
  <c r="L638" i="1"/>
  <c r="M638" i="1"/>
  <c r="N638" i="1"/>
  <c r="B639" i="1"/>
  <c r="K639" i="1"/>
  <c r="L639" i="1"/>
  <c r="M639" i="1"/>
  <c r="N639" i="1"/>
  <c r="B640" i="1"/>
  <c r="K640" i="1"/>
  <c r="L640" i="1"/>
  <c r="M640" i="1"/>
  <c r="N640" i="1"/>
  <c r="B641" i="1"/>
  <c r="K641" i="1"/>
  <c r="L641" i="1"/>
  <c r="M641" i="1"/>
  <c r="N641" i="1"/>
  <c r="B642" i="1"/>
  <c r="K642" i="1"/>
  <c r="L642" i="1"/>
  <c r="M642" i="1"/>
  <c r="N642" i="1"/>
  <c r="B643" i="1"/>
  <c r="K643" i="1"/>
  <c r="L643" i="1"/>
  <c r="M643" i="1"/>
  <c r="N643" i="1"/>
  <c r="B644" i="1"/>
  <c r="K644" i="1"/>
  <c r="L644" i="1"/>
  <c r="M644" i="1"/>
  <c r="N644" i="1"/>
  <c r="B645" i="1"/>
  <c r="K645" i="1"/>
  <c r="L645" i="1"/>
  <c r="M645" i="1"/>
  <c r="N645" i="1"/>
  <c r="B646" i="1"/>
  <c r="K646" i="1"/>
  <c r="L646" i="1"/>
  <c r="M646" i="1"/>
  <c r="N646" i="1"/>
  <c r="B647" i="1"/>
  <c r="K647" i="1"/>
  <c r="L647" i="1"/>
  <c r="M647" i="1"/>
  <c r="N647" i="1"/>
  <c r="B648" i="1"/>
  <c r="K648" i="1"/>
  <c r="L648" i="1"/>
  <c r="M648" i="1"/>
  <c r="N648" i="1"/>
  <c r="B649" i="1"/>
  <c r="K649" i="1"/>
  <c r="L649" i="1"/>
  <c r="M649" i="1"/>
  <c r="N649" i="1"/>
  <c r="B650" i="1"/>
  <c r="K650" i="1"/>
  <c r="L650" i="1"/>
  <c r="M650" i="1"/>
  <c r="N650" i="1"/>
  <c r="B651" i="1"/>
  <c r="K651" i="1"/>
  <c r="L651" i="1"/>
  <c r="M651" i="1"/>
  <c r="N651" i="1"/>
  <c r="B652" i="1"/>
  <c r="K652" i="1"/>
  <c r="L652" i="1"/>
  <c r="M652" i="1"/>
  <c r="N652" i="1"/>
  <c r="B653" i="1"/>
  <c r="K653" i="1"/>
  <c r="L653" i="1"/>
  <c r="M653" i="1"/>
  <c r="N653" i="1"/>
  <c r="B654" i="1"/>
  <c r="K654" i="1"/>
  <c r="L654" i="1"/>
  <c r="M654" i="1"/>
  <c r="N654" i="1"/>
  <c r="B655" i="1"/>
  <c r="K655" i="1"/>
  <c r="L655" i="1"/>
  <c r="M655" i="1"/>
  <c r="N655" i="1"/>
  <c r="B656" i="1"/>
  <c r="K656" i="1"/>
  <c r="L656" i="1"/>
  <c r="M656" i="1"/>
  <c r="N656" i="1"/>
  <c r="B657" i="1"/>
  <c r="K657" i="1"/>
  <c r="L657" i="1"/>
  <c r="M657" i="1"/>
  <c r="N657" i="1"/>
  <c r="B658" i="1"/>
  <c r="K658" i="1"/>
  <c r="L658" i="1"/>
  <c r="M658" i="1"/>
  <c r="N658" i="1"/>
  <c r="B659" i="1"/>
  <c r="K659" i="1"/>
  <c r="L659" i="1"/>
  <c r="M659" i="1"/>
  <c r="N659" i="1"/>
  <c r="B660" i="1"/>
  <c r="K660" i="1"/>
  <c r="L660" i="1"/>
  <c r="M660" i="1"/>
  <c r="N660" i="1"/>
  <c r="B661" i="1"/>
  <c r="K661" i="1"/>
  <c r="L661" i="1"/>
  <c r="M661" i="1"/>
  <c r="N661" i="1"/>
  <c r="B662" i="1"/>
  <c r="K662" i="1"/>
  <c r="L662" i="1"/>
  <c r="M662" i="1"/>
  <c r="N662" i="1"/>
  <c r="B663" i="1"/>
  <c r="K663" i="1"/>
  <c r="L663" i="1"/>
  <c r="M663" i="1"/>
  <c r="N663" i="1"/>
  <c r="B664" i="1"/>
  <c r="K664" i="1"/>
  <c r="L664" i="1"/>
  <c r="M664" i="1"/>
  <c r="N664" i="1"/>
  <c r="B665" i="1"/>
  <c r="K665" i="1"/>
  <c r="L665" i="1"/>
  <c r="M665" i="1"/>
  <c r="N665" i="1"/>
  <c r="B666" i="1"/>
  <c r="K666" i="1"/>
  <c r="L666" i="1"/>
  <c r="M666" i="1"/>
  <c r="N666" i="1"/>
  <c r="B667" i="1"/>
  <c r="K667" i="1"/>
  <c r="L667" i="1"/>
  <c r="M667" i="1"/>
  <c r="N667" i="1"/>
  <c r="B668" i="1"/>
  <c r="K668" i="1"/>
  <c r="L668" i="1"/>
  <c r="M668" i="1"/>
  <c r="N668" i="1"/>
  <c r="B669" i="1"/>
  <c r="K669" i="1"/>
  <c r="L669" i="1"/>
  <c r="M669" i="1"/>
  <c r="N669" i="1"/>
  <c r="B670" i="1"/>
  <c r="K670" i="1"/>
  <c r="L670" i="1"/>
  <c r="M670" i="1"/>
  <c r="N670" i="1"/>
  <c r="B671" i="1"/>
  <c r="K671" i="1"/>
  <c r="L671" i="1"/>
  <c r="M671" i="1"/>
  <c r="N671" i="1"/>
  <c r="B672" i="1"/>
  <c r="K672" i="1"/>
  <c r="L672" i="1"/>
  <c r="M672" i="1"/>
  <c r="N672" i="1"/>
  <c r="B673" i="1"/>
  <c r="K673" i="1"/>
  <c r="L673" i="1"/>
  <c r="M673" i="1"/>
  <c r="N673" i="1"/>
  <c r="B674" i="1"/>
  <c r="K674" i="1"/>
  <c r="L674" i="1"/>
  <c r="M674" i="1"/>
  <c r="N674" i="1"/>
  <c r="B675" i="1"/>
  <c r="K675" i="1"/>
  <c r="L675" i="1"/>
  <c r="M675" i="1"/>
  <c r="N675" i="1"/>
  <c r="B676" i="1"/>
  <c r="K676" i="1"/>
  <c r="L676" i="1"/>
  <c r="M676" i="1"/>
  <c r="N676" i="1"/>
  <c r="B677" i="1"/>
  <c r="K677" i="1"/>
  <c r="L677" i="1"/>
  <c r="M677" i="1"/>
  <c r="N677" i="1"/>
  <c r="B678" i="1"/>
  <c r="K678" i="1"/>
  <c r="L678" i="1"/>
  <c r="M678" i="1"/>
  <c r="N678" i="1"/>
  <c r="B679" i="1"/>
  <c r="K679" i="1"/>
  <c r="L679" i="1"/>
  <c r="M679" i="1"/>
  <c r="N679" i="1"/>
  <c r="B680" i="1"/>
  <c r="K680" i="1"/>
  <c r="L680" i="1"/>
  <c r="M680" i="1"/>
  <c r="N680" i="1"/>
  <c r="B681" i="1"/>
  <c r="K681" i="1"/>
  <c r="L681" i="1"/>
  <c r="M681" i="1"/>
  <c r="N681" i="1"/>
  <c r="B682" i="1"/>
  <c r="K682" i="1"/>
  <c r="L682" i="1"/>
  <c r="M682" i="1"/>
  <c r="N682" i="1"/>
  <c r="B683" i="1"/>
  <c r="K683" i="1"/>
  <c r="L683" i="1"/>
  <c r="M683" i="1"/>
  <c r="N683" i="1"/>
  <c r="B684" i="1"/>
  <c r="K684" i="1"/>
  <c r="L684" i="1"/>
  <c r="M684" i="1"/>
  <c r="N684" i="1"/>
  <c r="B685" i="1"/>
  <c r="K685" i="1"/>
  <c r="L685" i="1"/>
  <c r="M685" i="1"/>
  <c r="N685" i="1"/>
  <c r="B686" i="1"/>
  <c r="K686" i="1"/>
  <c r="L686" i="1"/>
  <c r="M686" i="1"/>
  <c r="N686" i="1"/>
  <c r="B687" i="1"/>
  <c r="K687" i="1"/>
  <c r="L687" i="1"/>
  <c r="M687" i="1"/>
  <c r="N687" i="1"/>
  <c r="B688" i="1"/>
  <c r="K688" i="1"/>
  <c r="L688" i="1"/>
  <c r="M688" i="1"/>
  <c r="N688" i="1"/>
  <c r="B689" i="1"/>
  <c r="K689" i="1"/>
  <c r="L689" i="1"/>
  <c r="M689" i="1"/>
  <c r="N689" i="1"/>
  <c r="B690" i="1"/>
  <c r="K690" i="1"/>
  <c r="L690" i="1"/>
  <c r="M690" i="1"/>
  <c r="N690" i="1"/>
  <c r="B691" i="1"/>
  <c r="K691" i="1"/>
  <c r="L691" i="1"/>
  <c r="M691" i="1"/>
  <c r="N691" i="1"/>
  <c r="B692" i="1"/>
  <c r="K692" i="1"/>
  <c r="L692" i="1"/>
  <c r="M692" i="1"/>
  <c r="N692" i="1"/>
  <c r="B693" i="1"/>
  <c r="K693" i="1"/>
  <c r="L693" i="1"/>
  <c r="M693" i="1"/>
  <c r="N693" i="1"/>
  <c r="B694" i="1"/>
  <c r="K694" i="1"/>
  <c r="L694" i="1"/>
  <c r="M694" i="1"/>
  <c r="N694" i="1"/>
  <c r="B695" i="1"/>
  <c r="K695" i="1"/>
  <c r="L695" i="1"/>
  <c r="M695" i="1"/>
  <c r="N695" i="1"/>
  <c r="B696" i="1"/>
  <c r="K696" i="1"/>
  <c r="L696" i="1"/>
  <c r="M696" i="1"/>
  <c r="N696" i="1"/>
  <c r="B697" i="1"/>
  <c r="K697" i="1"/>
  <c r="L697" i="1"/>
  <c r="M697" i="1"/>
  <c r="N697" i="1"/>
  <c r="B698" i="1"/>
  <c r="K698" i="1"/>
  <c r="L698" i="1"/>
  <c r="M698" i="1"/>
  <c r="N698" i="1"/>
  <c r="B699" i="1"/>
  <c r="K699" i="1"/>
  <c r="L699" i="1"/>
  <c r="M699" i="1"/>
  <c r="N699" i="1"/>
  <c r="B700" i="1"/>
  <c r="K700" i="1"/>
  <c r="L700" i="1"/>
  <c r="M700" i="1"/>
  <c r="N700" i="1"/>
  <c r="B701" i="1"/>
  <c r="K701" i="1"/>
  <c r="L701" i="1"/>
  <c r="M701" i="1"/>
  <c r="N701" i="1"/>
  <c r="B702" i="1"/>
  <c r="K702" i="1"/>
  <c r="L702" i="1"/>
  <c r="M702" i="1"/>
  <c r="N702" i="1"/>
  <c r="B703" i="1"/>
  <c r="K703" i="1"/>
  <c r="L703" i="1"/>
  <c r="M703" i="1"/>
  <c r="N703" i="1"/>
  <c r="B704" i="1"/>
  <c r="K704" i="1"/>
  <c r="L704" i="1"/>
  <c r="M704" i="1"/>
  <c r="N704" i="1"/>
  <c r="B705" i="1"/>
  <c r="K705" i="1"/>
  <c r="L705" i="1"/>
  <c r="M705" i="1"/>
  <c r="N705" i="1"/>
  <c r="B706" i="1"/>
  <c r="K706" i="1"/>
  <c r="L706" i="1"/>
  <c r="M706" i="1"/>
  <c r="N706" i="1"/>
  <c r="B707" i="1"/>
  <c r="K707" i="1"/>
  <c r="L707" i="1"/>
  <c r="M707" i="1"/>
  <c r="N707" i="1"/>
  <c r="B708" i="1"/>
  <c r="K708" i="1"/>
  <c r="L708" i="1"/>
  <c r="M708" i="1"/>
  <c r="N708" i="1"/>
  <c r="B709" i="1"/>
  <c r="K709" i="1"/>
  <c r="L709" i="1"/>
  <c r="M709" i="1"/>
  <c r="N709" i="1"/>
  <c r="B710" i="1"/>
  <c r="K710" i="1"/>
  <c r="L710" i="1"/>
  <c r="M710" i="1"/>
  <c r="N710" i="1"/>
  <c r="B711" i="1"/>
  <c r="K711" i="1"/>
  <c r="L711" i="1"/>
  <c r="M711" i="1"/>
  <c r="N711" i="1"/>
  <c r="B712" i="1"/>
  <c r="K712" i="1"/>
  <c r="L712" i="1"/>
  <c r="M712" i="1"/>
  <c r="N712" i="1"/>
  <c r="B713" i="1"/>
  <c r="K713" i="1"/>
  <c r="L713" i="1"/>
  <c r="M713" i="1"/>
  <c r="N713" i="1"/>
  <c r="B714" i="1"/>
  <c r="K714" i="1"/>
  <c r="L714" i="1"/>
  <c r="M714" i="1"/>
  <c r="N714" i="1"/>
  <c r="B715" i="1"/>
  <c r="K715" i="1"/>
  <c r="L715" i="1"/>
  <c r="M715" i="1"/>
  <c r="N715" i="1"/>
  <c r="B716" i="1"/>
  <c r="K716" i="1"/>
  <c r="L716" i="1"/>
  <c r="M716" i="1"/>
  <c r="N716" i="1"/>
  <c r="B717" i="1"/>
  <c r="K717" i="1"/>
  <c r="L717" i="1"/>
  <c r="M717" i="1"/>
  <c r="N717" i="1"/>
  <c r="B718" i="1"/>
  <c r="K718" i="1"/>
  <c r="L718" i="1"/>
  <c r="M718" i="1"/>
  <c r="N718" i="1"/>
  <c r="B719" i="1"/>
  <c r="K719" i="1"/>
  <c r="L719" i="1"/>
  <c r="M719" i="1"/>
  <c r="N719" i="1"/>
  <c r="B720" i="1"/>
  <c r="K720" i="1"/>
  <c r="L720" i="1"/>
  <c r="M720" i="1"/>
  <c r="N720" i="1"/>
  <c r="B721" i="1"/>
  <c r="K721" i="1"/>
  <c r="L721" i="1"/>
  <c r="M721" i="1"/>
  <c r="N721" i="1"/>
  <c r="B722" i="1"/>
  <c r="K722" i="1"/>
  <c r="L722" i="1"/>
  <c r="M722" i="1"/>
  <c r="N722" i="1"/>
  <c r="B723" i="1"/>
  <c r="K723" i="1"/>
  <c r="L723" i="1"/>
  <c r="M723" i="1"/>
  <c r="N723" i="1"/>
  <c r="B724" i="1"/>
  <c r="K724" i="1"/>
  <c r="L724" i="1"/>
  <c r="M724" i="1"/>
  <c r="N724" i="1"/>
  <c r="B725" i="1"/>
  <c r="K725" i="1"/>
  <c r="L725" i="1"/>
  <c r="M725" i="1"/>
  <c r="N725" i="1"/>
  <c r="B726" i="1"/>
  <c r="K726" i="1"/>
  <c r="L726" i="1"/>
  <c r="M726" i="1"/>
  <c r="N726" i="1"/>
  <c r="B727" i="1"/>
  <c r="K727" i="1"/>
  <c r="L727" i="1"/>
  <c r="M727" i="1"/>
  <c r="N727" i="1"/>
  <c r="B728" i="1"/>
  <c r="K728" i="1"/>
  <c r="L728" i="1"/>
  <c r="M728" i="1"/>
  <c r="N728" i="1"/>
  <c r="B729" i="1"/>
  <c r="K729" i="1"/>
  <c r="L729" i="1"/>
  <c r="M729" i="1"/>
  <c r="N729" i="1"/>
  <c r="B730" i="1"/>
  <c r="K730" i="1"/>
  <c r="L730" i="1"/>
  <c r="M730" i="1"/>
  <c r="N730" i="1"/>
  <c r="B731" i="1"/>
  <c r="K731" i="1"/>
  <c r="L731" i="1"/>
  <c r="M731" i="1"/>
  <c r="N731" i="1"/>
  <c r="B732" i="1"/>
  <c r="K732" i="1"/>
  <c r="L732" i="1"/>
  <c r="M732" i="1"/>
  <c r="N732" i="1"/>
  <c r="B733" i="1"/>
  <c r="K733" i="1"/>
  <c r="L733" i="1"/>
  <c r="M733" i="1"/>
  <c r="N733" i="1"/>
  <c r="B734" i="1"/>
  <c r="K734" i="1"/>
  <c r="L734" i="1"/>
  <c r="M734" i="1"/>
  <c r="N734" i="1"/>
  <c r="B735" i="1"/>
  <c r="K735" i="1"/>
  <c r="L735" i="1"/>
  <c r="M735" i="1"/>
  <c r="N735" i="1"/>
  <c r="B736" i="1"/>
  <c r="K736" i="1"/>
  <c r="L736" i="1"/>
  <c r="M736" i="1"/>
  <c r="N736" i="1"/>
  <c r="B737" i="1"/>
  <c r="K737" i="1"/>
  <c r="L737" i="1"/>
  <c r="M737" i="1"/>
  <c r="N737" i="1"/>
  <c r="B738" i="1"/>
  <c r="K738" i="1"/>
  <c r="L738" i="1"/>
  <c r="M738" i="1"/>
  <c r="N738" i="1"/>
  <c r="B739" i="1"/>
  <c r="K739" i="1"/>
  <c r="L739" i="1"/>
  <c r="M739" i="1"/>
  <c r="N739" i="1"/>
  <c r="B740" i="1"/>
  <c r="K740" i="1"/>
  <c r="L740" i="1"/>
  <c r="M740" i="1"/>
  <c r="N740" i="1"/>
  <c r="B741" i="1"/>
  <c r="K741" i="1"/>
  <c r="L741" i="1"/>
  <c r="M741" i="1"/>
  <c r="N741" i="1"/>
  <c r="B742" i="1"/>
  <c r="K742" i="1"/>
  <c r="L742" i="1"/>
  <c r="M742" i="1"/>
  <c r="N742" i="1"/>
  <c r="B743" i="1"/>
  <c r="K743" i="1"/>
  <c r="L743" i="1"/>
  <c r="M743" i="1"/>
  <c r="N743" i="1"/>
  <c r="B744" i="1"/>
  <c r="K744" i="1"/>
  <c r="L744" i="1"/>
  <c r="M744" i="1"/>
  <c r="N744" i="1"/>
  <c r="B745" i="1"/>
  <c r="K745" i="1"/>
  <c r="L745" i="1"/>
  <c r="M745" i="1"/>
  <c r="N745" i="1"/>
  <c r="B746" i="1"/>
  <c r="K746" i="1"/>
  <c r="L746" i="1"/>
  <c r="M746" i="1"/>
  <c r="N746" i="1"/>
  <c r="B747" i="1"/>
  <c r="K747" i="1"/>
  <c r="L747" i="1"/>
  <c r="M747" i="1"/>
  <c r="N747" i="1"/>
  <c r="B748" i="1"/>
  <c r="K748" i="1"/>
  <c r="L748" i="1"/>
  <c r="M748" i="1"/>
  <c r="N748" i="1"/>
  <c r="B749" i="1"/>
  <c r="K749" i="1"/>
  <c r="L749" i="1"/>
  <c r="M749" i="1"/>
  <c r="N749" i="1"/>
  <c r="B750" i="1"/>
  <c r="K750" i="1"/>
  <c r="L750" i="1"/>
  <c r="M750" i="1"/>
  <c r="N750" i="1"/>
  <c r="B751" i="1"/>
  <c r="K751" i="1"/>
  <c r="L751" i="1"/>
  <c r="M751" i="1"/>
  <c r="N751" i="1"/>
  <c r="B752" i="1"/>
  <c r="K752" i="1"/>
  <c r="L752" i="1"/>
  <c r="M752" i="1"/>
  <c r="N752" i="1"/>
  <c r="B753" i="1"/>
  <c r="K753" i="1"/>
  <c r="L753" i="1"/>
  <c r="M753" i="1"/>
  <c r="N753" i="1"/>
  <c r="B754" i="1"/>
  <c r="K754" i="1"/>
  <c r="L754" i="1"/>
  <c r="M754" i="1"/>
  <c r="N754" i="1"/>
  <c r="B755" i="1"/>
  <c r="K755" i="1"/>
  <c r="L755" i="1"/>
  <c r="M755" i="1"/>
  <c r="N755" i="1"/>
  <c r="B756" i="1"/>
  <c r="K756" i="1"/>
  <c r="L756" i="1"/>
  <c r="M756" i="1"/>
  <c r="N756" i="1"/>
  <c r="B757" i="1"/>
  <c r="K757" i="1"/>
  <c r="L757" i="1"/>
  <c r="M757" i="1"/>
  <c r="N757" i="1"/>
  <c r="B758" i="1"/>
  <c r="K758" i="1"/>
  <c r="L758" i="1"/>
  <c r="M758" i="1"/>
  <c r="N758" i="1"/>
  <c r="B759" i="1"/>
  <c r="K759" i="1"/>
  <c r="L759" i="1"/>
  <c r="M759" i="1"/>
  <c r="N759" i="1"/>
  <c r="B760" i="1"/>
  <c r="K760" i="1"/>
  <c r="L760" i="1"/>
  <c r="M760" i="1"/>
  <c r="N760" i="1"/>
  <c r="B761" i="1"/>
  <c r="K761" i="1"/>
  <c r="L761" i="1"/>
  <c r="M761" i="1"/>
  <c r="N761" i="1"/>
  <c r="B762" i="1"/>
  <c r="K762" i="1"/>
  <c r="L762" i="1"/>
  <c r="M762" i="1"/>
  <c r="N762" i="1"/>
  <c r="B763" i="1"/>
  <c r="K763" i="1"/>
  <c r="L763" i="1"/>
  <c r="M763" i="1"/>
  <c r="N763" i="1"/>
  <c r="B764" i="1"/>
  <c r="K764" i="1"/>
  <c r="L764" i="1"/>
  <c r="M764" i="1"/>
  <c r="N764" i="1"/>
  <c r="B765" i="1"/>
  <c r="K765" i="1"/>
  <c r="L765" i="1"/>
  <c r="M765" i="1"/>
  <c r="N765" i="1"/>
  <c r="B766" i="1"/>
  <c r="K766" i="1"/>
  <c r="L766" i="1"/>
  <c r="M766" i="1"/>
  <c r="N766" i="1"/>
  <c r="B767" i="1"/>
  <c r="K767" i="1"/>
  <c r="L767" i="1"/>
  <c r="M767" i="1"/>
  <c r="N767" i="1"/>
  <c r="B768" i="1"/>
  <c r="K768" i="1"/>
  <c r="L768" i="1"/>
  <c r="M768" i="1"/>
  <c r="N768" i="1"/>
  <c r="B769" i="1"/>
  <c r="K769" i="1"/>
  <c r="L769" i="1"/>
  <c r="M769" i="1"/>
  <c r="N769" i="1"/>
  <c r="B770" i="1"/>
  <c r="K770" i="1"/>
  <c r="L770" i="1"/>
  <c r="M770" i="1"/>
  <c r="N770" i="1"/>
  <c r="B771" i="1"/>
  <c r="K771" i="1"/>
  <c r="L771" i="1"/>
  <c r="M771" i="1"/>
  <c r="N771" i="1"/>
  <c r="B772" i="1"/>
  <c r="K772" i="1"/>
  <c r="L772" i="1"/>
  <c r="M772" i="1"/>
  <c r="N772" i="1"/>
  <c r="B773" i="1"/>
  <c r="K773" i="1"/>
  <c r="L773" i="1"/>
  <c r="M773" i="1"/>
  <c r="N773" i="1"/>
  <c r="B774" i="1"/>
  <c r="K774" i="1"/>
  <c r="L774" i="1"/>
  <c r="M774" i="1"/>
  <c r="N774" i="1"/>
  <c r="B775" i="1"/>
  <c r="K775" i="1"/>
  <c r="L775" i="1"/>
  <c r="M775" i="1"/>
  <c r="N775" i="1"/>
  <c r="B776" i="1"/>
  <c r="K776" i="1"/>
  <c r="L776" i="1"/>
  <c r="M776" i="1"/>
  <c r="N776" i="1"/>
  <c r="B777" i="1"/>
  <c r="K777" i="1"/>
  <c r="L777" i="1"/>
  <c r="M777" i="1"/>
  <c r="N777" i="1"/>
  <c r="B778" i="1"/>
  <c r="K778" i="1"/>
  <c r="L778" i="1"/>
  <c r="M778" i="1"/>
  <c r="N778" i="1"/>
  <c r="B779" i="1"/>
  <c r="K779" i="1"/>
  <c r="L779" i="1"/>
  <c r="M779" i="1"/>
  <c r="N779" i="1"/>
  <c r="B780" i="1"/>
  <c r="K780" i="1"/>
  <c r="L780" i="1"/>
  <c r="M780" i="1"/>
  <c r="N780" i="1"/>
  <c r="B781" i="1"/>
  <c r="K781" i="1"/>
  <c r="L781" i="1"/>
  <c r="M781" i="1"/>
  <c r="N781" i="1"/>
  <c r="B782" i="1"/>
  <c r="K782" i="1"/>
  <c r="L782" i="1"/>
  <c r="M782" i="1"/>
  <c r="N782" i="1"/>
  <c r="B783" i="1"/>
  <c r="K783" i="1"/>
  <c r="L783" i="1"/>
  <c r="M783" i="1"/>
  <c r="N783" i="1"/>
  <c r="B784" i="1"/>
  <c r="K784" i="1"/>
  <c r="L784" i="1"/>
  <c r="M784" i="1"/>
  <c r="N784" i="1"/>
  <c r="B785" i="1"/>
  <c r="K785" i="1"/>
  <c r="L785" i="1"/>
  <c r="M785" i="1"/>
  <c r="N785" i="1"/>
  <c r="B786" i="1"/>
  <c r="K786" i="1"/>
  <c r="L786" i="1"/>
  <c r="M786" i="1"/>
  <c r="N786" i="1"/>
  <c r="B787" i="1"/>
  <c r="K787" i="1"/>
  <c r="L787" i="1"/>
  <c r="M787" i="1"/>
  <c r="N787" i="1"/>
  <c r="B788" i="1"/>
  <c r="K788" i="1"/>
  <c r="L788" i="1"/>
  <c r="M788" i="1"/>
  <c r="N788" i="1"/>
  <c r="B789" i="1"/>
  <c r="K789" i="1"/>
  <c r="L789" i="1"/>
  <c r="M789" i="1"/>
  <c r="N789" i="1"/>
  <c r="B790" i="1"/>
  <c r="K790" i="1"/>
  <c r="L790" i="1"/>
  <c r="M790" i="1"/>
  <c r="N790" i="1"/>
  <c r="B791" i="1"/>
  <c r="K791" i="1"/>
  <c r="L791" i="1"/>
  <c r="M791" i="1"/>
  <c r="N791" i="1"/>
  <c r="B792" i="1"/>
  <c r="K792" i="1"/>
  <c r="L792" i="1"/>
  <c r="M792" i="1"/>
  <c r="N792" i="1"/>
  <c r="B793" i="1"/>
  <c r="K793" i="1"/>
  <c r="L793" i="1"/>
  <c r="M793" i="1"/>
  <c r="N793" i="1"/>
  <c r="B794" i="1"/>
  <c r="K794" i="1"/>
  <c r="L794" i="1"/>
  <c r="M794" i="1"/>
  <c r="N794" i="1"/>
  <c r="B795" i="1"/>
  <c r="K795" i="1"/>
  <c r="L795" i="1"/>
  <c r="M795" i="1"/>
  <c r="N795" i="1"/>
  <c r="B796" i="1"/>
  <c r="K796" i="1"/>
  <c r="L796" i="1"/>
  <c r="M796" i="1"/>
  <c r="N796" i="1"/>
  <c r="B797" i="1"/>
  <c r="K797" i="1"/>
  <c r="L797" i="1"/>
  <c r="M797" i="1"/>
  <c r="N797" i="1"/>
  <c r="B798" i="1"/>
  <c r="K798" i="1"/>
  <c r="L798" i="1"/>
  <c r="M798" i="1"/>
  <c r="N798" i="1"/>
  <c r="B799" i="1"/>
  <c r="K799" i="1"/>
  <c r="L799" i="1"/>
  <c r="M799" i="1"/>
  <c r="N799" i="1"/>
  <c r="B800" i="1"/>
  <c r="K800" i="1"/>
  <c r="L800" i="1"/>
  <c r="M800" i="1"/>
  <c r="N800" i="1"/>
  <c r="B801" i="1"/>
  <c r="K801" i="1"/>
  <c r="L801" i="1"/>
  <c r="M801" i="1"/>
  <c r="N801" i="1"/>
  <c r="B802" i="1"/>
  <c r="K802" i="1"/>
  <c r="L802" i="1"/>
  <c r="M802" i="1"/>
  <c r="N802" i="1"/>
  <c r="B803" i="1"/>
  <c r="K803" i="1"/>
  <c r="L803" i="1"/>
  <c r="M803" i="1"/>
  <c r="N803" i="1"/>
  <c r="B804" i="1"/>
  <c r="K804" i="1"/>
  <c r="L804" i="1"/>
  <c r="M804" i="1"/>
  <c r="N804" i="1"/>
  <c r="B805" i="1"/>
  <c r="K805" i="1"/>
  <c r="L805" i="1"/>
  <c r="M805" i="1"/>
  <c r="N805" i="1"/>
  <c r="B806" i="1"/>
  <c r="K806" i="1"/>
  <c r="L806" i="1"/>
  <c r="M806" i="1"/>
  <c r="N806" i="1"/>
  <c r="B807" i="1"/>
  <c r="K807" i="1"/>
  <c r="L807" i="1"/>
  <c r="M807" i="1"/>
  <c r="N807" i="1"/>
  <c r="B808" i="1"/>
  <c r="K808" i="1"/>
  <c r="L808" i="1"/>
  <c r="M808" i="1"/>
  <c r="N808" i="1"/>
  <c r="B809" i="1"/>
  <c r="K809" i="1"/>
  <c r="L809" i="1"/>
  <c r="M809" i="1"/>
  <c r="N809" i="1"/>
  <c r="B810" i="1"/>
  <c r="K810" i="1"/>
  <c r="L810" i="1"/>
  <c r="M810" i="1"/>
  <c r="N810" i="1"/>
  <c r="B811" i="1"/>
  <c r="K811" i="1"/>
  <c r="L811" i="1"/>
  <c r="M811" i="1"/>
  <c r="N811" i="1"/>
  <c r="B812" i="1"/>
  <c r="K812" i="1"/>
  <c r="L812" i="1"/>
  <c r="M812" i="1"/>
  <c r="N812" i="1"/>
  <c r="B813" i="1"/>
  <c r="K813" i="1"/>
  <c r="L813" i="1"/>
  <c r="M813" i="1"/>
  <c r="N813" i="1"/>
  <c r="B814" i="1"/>
  <c r="K814" i="1"/>
  <c r="L814" i="1"/>
  <c r="M814" i="1"/>
  <c r="N814" i="1"/>
  <c r="B815" i="1"/>
  <c r="K815" i="1"/>
  <c r="L815" i="1"/>
  <c r="M815" i="1"/>
  <c r="N815" i="1"/>
  <c r="B816" i="1"/>
  <c r="K816" i="1"/>
  <c r="L816" i="1"/>
  <c r="M816" i="1"/>
  <c r="N816" i="1"/>
  <c r="B817" i="1"/>
  <c r="K817" i="1"/>
  <c r="L817" i="1"/>
  <c r="M817" i="1"/>
  <c r="N817" i="1"/>
  <c r="B818" i="1"/>
  <c r="K818" i="1"/>
  <c r="L818" i="1"/>
  <c r="M818" i="1"/>
  <c r="N818" i="1"/>
  <c r="B819" i="1"/>
  <c r="K819" i="1"/>
  <c r="L819" i="1"/>
  <c r="M819" i="1"/>
  <c r="N819" i="1"/>
  <c r="B820" i="1"/>
  <c r="K820" i="1"/>
  <c r="L820" i="1"/>
  <c r="M820" i="1"/>
  <c r="N820" i="1"/>
  <c r="B821" i="1"/>
  <c r="K821" i="1"/>
  <c r="L821" i="1"/>
  <c r="M821" i="1"/>
  <c r="N821" i="1"/>
  <c r="B822" i="1"/>
  <c r="K822" i="1"/>
  <c r="L822" i="1"/>
  <c r="M822" i="1"/>
  <c r="N822" i="1"/>
  <c r="B823" i="1"/>
  <c r="K823" i="1"/>
  <c r="L823" i="1"/>
  <c r="M823" i="1"/>
  <c r="N823" i="1"/>
  <c r="B824" i="1"/>
  <c r="K824" i="1"/>
  <c r="L824" i="1"/>
  <c r="M824" i="1"/>
  <c r="N824" i="1"/>
  <c r="B825" i="1"/>
  <c r="K825" i="1"/>
  <c r="L825" i="1"/>
  <c r="M825" i="1"/>
  <c r="N825" i="1"/>
  <c r="B826" i="1"/>
  <c r="K826" i="1"/>
  <c r="L826" i="1"/>
  <c r="M826" i="1"/>
  <c r="N826" i="1"/>
  <c r="B827" i="1"/>
  <c r="K827" i="1"/>
  <c r="L827" i="1"/>
  <c r="M827" i="1"/>
  <c r="N827" i="1"/>
  <c r="B828" i="1"/>
  <c r="K828" i="1"/>
  <c r="L828" i="1"/>
  <c r="M828" i="1"/>
  <c r="N828" i="1"/>
  <c r="B829" i="1"/>
  <c r="K829" i="1"/>
  <c r="L829" i="1"/>
  <c r="M829" i="1"/>
  <c r="N829" i="1"/>
  <c r="B830" i="1"/>
  <c r="K830" i="1"/>
  <c r="L830" i="1"/>
  <c r="M830" i="1"/>
  <c r="N830" i="1"/>
  <c r="B831" i="1"/>
  <c r="K831" i="1"/>
  <c r="L831" i="1"/>
  <c r="M831" i="1"/>
  <c r="N831" i="1"/>
  <c r="B832" i="1"/>
  <c r="K832" i="1"/>
  <c r="L832" i="1"/>
  <c r="M832" i="1"/>
  <c r="N832" i="1"/>
  <c r="B833" i="1"/>
  <c r="K833" i="1"/>
  <c r="L833" i="1"/>
  <c r="M833" i="1"/>
  <c r="N833" i="1"/>
  <c r="B834" i="1"/>
  <c r="K834" i="1"/>
  <c r="L834" i="1"/>
  <c r="M834" i="1"/>
  <c r="N834" i="1"/>
  <c r="B835" i="1"/>
  <c r="K835" i="1"/>
  <c r="L835" i="1"/>
  <c r="M835" i="1"/>
  <c r="N835" i="1"/>
  <c r="B836" i="1"/>
  <c r="K836" i="1"/>
  <c r="L836" i="1"/>
  <c r="M836" i="1"/>
  <c r="N836" i="1"/>
  <c r="B837" i="1"/>
  <c r="K837" i="1"/>
  <c r="L837" i="1"/>
  <c r="M837" i="1"/>
  <c r="N837" i="1"/>
  <c r="B838" i="1"/>
  <c r="K838" i="1"/>
  <c r="L838" i="1"/>
  <c r="M838" i="1"/>
  <c r="N838" i="1"/>
  <c r="B839" i="1"/>
  <c r="K839" i="1"/>
  <c r="L839" i="1"/>
  <c r="M839" i="1"/>
  <c r="N839" i="1"/>
  <c r="B840" i="1"/>
  <c r="K840" i="1"/>
  <c r="L840" i="1"/>
  <c r="M840" i="1"/>
  <c r="N840" i="1"/>
  <c r="B841" i="1"/>
  <c r="K841" i="1"/>
  <c r="L841" i="1"/>
  <c r="M841" i="1"/>
  <c r="N841" i="1"/>
  <c r="B842" i="1"/>
  <c r="K842" i="1"/>
  <c r="L842" i="1"/>
  <c r="M842" i="1"/>
  <c r="N842" i="1"/>
  <c r="B843" i="1"/>
  <c r="K843" i="1"/>
  <c r="L843" i="1"/>
  <c r="M843" i="1"/>
  <c r="N843" i="1"/>
  <c r="B844" i="1"/>
  <c r="K844" i="1"/>
  <c r="L844" i="1"/>
  <c r="M844" i="1"/>
  <c r="N844" i="1"/>
  <c r="B845" i="1"/>
  <c r="K845" i="1"/>
  <c r="L845" i="1"/>
  <c r="M845" i="1"/>
  <c r="N845" i="1"/>
  <c r="B846" i="1"/>
  <c r="K846" i="1"/>
  <c r="L846" i="1"/>
  <c r="M846" i="1"/>
  <c r="N846" i="1"/>
  <c r="B847" i="1"/>
  <c r="K847" i="1"/>
  <c r="L847" i="1"/>
  <c r="M847" i="1"/>
  <c r="N847" i="1"/>
  <c r="B848" i="1"/>
  <c r="K848" i="1"/>
  <c r="L848" i="1"/>
  <c r="M848" i="1"/>
  <c r="N848" i="1"/>
  <c r="B849" i="1"/>
  <c r="K849" i="1"/>
  <c r="L849" i="1"/>
  <c r="M849" i="1"/>
  <c r="N849" i="1"/>
  <c r="B850" i="1"/>
  <c r="K850" i="1"/>
  <c r="L850" i="1"/>
  <c r="M850" i="1"/>
  <c r="N850" i="1"/>
  <c r="B851" i="1"/>
  <c r="K851" i="1"/>
  <c r="L851" i="1"/>
  <c r="M851" i="1"/>
  <c r="N851" i="1"/>
  <c r="B852" i="1"/>
  <c r="K852" i="1"/>
  <c r="L852" i="1"/>
  <c r="M852" i="1"/>
  <c r="N852" i="1"/>
  <c r="B853" i="1"/>
  <c r="K853" i="1"/>
  <c r="L853" i="1"/>
  <c r="M853" i="1"/>
  <c r="N853" i="1"/>
  <c r="B854" i="1"/>
  <c r="K854" i="1"/>
  <c r="L854" i="1"/>
  <c r="M854" i="1"/>
  <c r="N854" i="1"/>
  <c r="B855" i="1"/>
  <c r="K855" i="1"/>
  <c r="L855" i="1"/>
  <c r="M855" i="1"/>
  <c r="N855" i="1"/>
  <c r="B856" i="1"/>
  <c r="K856" i="1"/>
  <c r="L856" i="1"/>
  <c r="M856" i="1"/>
  <c r="N856" i="1"/>
  <c r="B857" i="1"/>
  <c r="K857" i="1"/>
  <c r="L857" i="1"/>
  <c r="M857" i="1"/>
  <c r="N857" i="1"/>
  <c r="B858" i="1"/>
  <c r="K858" i="1"/>
  <c r="L858" i="1"/>
  <c r="M858" i="1"/>
  <c r="N858" i="1"/>
  <c r="B859" i="1"/>
  <c r="K859" i="1"/>
  <c r="L859" i="1"/>
  <c r="M859" i="1"/>
  <c r="N859" i="1"/>
  <c r="B860" i="1"/>
  <c r="K860" i="1"/>
  <c r="L860" i="1"/>
  <c r="M860" i="1"/>
  <c r="N860" i="1"/>
  <c r="B861" i="1"/>
  <c r="K861" i="1"/>
  <c r="L861" i="1"/>
  <c r="M861" i="1"/>
  <c r="N861" i="1"/>
  <c r="B862" i="1"/>
  <c r="K862" i="1"/>
  <c r="L862" i="1"/>
  <c r="M862" i="1"/>
  <c r="N862" i="1"/>
  <c r="B863" i="1"/>
  <c r="K863" i="1"/>
  <c r="L863" i="1"/>
  <c r="M863" i="1"/>
  <c r="N863" i="1"/>
  <c r="B864" i="1"/>
  <c r="K864" i="1"/>
  <c r="L864" i="1"/>
  <c r="M864" i="1"/>
  <c r="N864" i="1"/>
  <c r="B865" i="1"/>
  <c r="K865" i="1"/>
  <c r="L865" i="1"/>
  <c r="M865" i="1"/>
  <c r="N865" i="1"/>
  <c r="B866" i="1"/>
  <c r="K866" i="1"/>
  <c r="L866" i="1"/>
  <c r="M866" i="1"/>
  <c r="N866" i="1"/>
  <c r="B867" i="1"/>
  <c r="K867" i="1"/>
  <c r="L867" i="1"/>
  <c r="M867" i="1"/>
  <c r="N867" i="1"/>
  <c r="B868" i="1"/>
  <c r="K868" i="1"/>
  <c r="L868" i="1"/>
  <c r="M868" i="1"/>
  <c r="N868" i="1"/>
  <c r="B869" i="1"/>
  <c r="K869" i="1"/>
  <c r="L869" i="1"/>
  <c r="M869" i="1"/>
  <c r="N869" i="1"/>
  <c r="B870" i="1"/>
  <c r="K870" i="1"/>
  <c r="L870" i="1"/>
  <c r="M870" i="1"/>
  <c r="N870" i="1"/>
  <c r="B871" i="1"/>
  <c r="K871" i="1"/>
  <c r="L871" i="1"/>
  <c r="M871" i="1"/>
  <c r="N871" i="1"/>
  <c r="B872" i="1"/>
  <c r="K872" i="1"/>
  <c r="L872" i="1"/>
  <c r="M872" i="1"/>
  <c r="N872" i="1"/>
  <c r="B873" i="1"/>
  <c r="K873" i="1"/>
  <c r="L873" i="1"/>
  <c r="M873" i="1"/>
  <c r="N873" i="1"/>
  <c r="B874" i="1"/>
  <c r="K874" i="1"/>
  <c r="L874" i="1"/>
  <c r="M874" i="1"/>
  <c r="N874" i="1"/>
  <c r="B875" i="1"/>
  <c r="K875" i="1"/>
  <c r="L875" i="1"/>
  <c r="M875" i="1"/>
  <c r="N875" i="1"/>
  <c r="B876" i="1"/>
  <c r="K876" i="1"/>
  <c r="L876" i="1"/>
  <c r="M876" i="1"/>
  <c r="N876" i="1"/>
  <c r="B877" i="1"/>
  <c r="K877" i="1"/>
  <c r="L877" i="1"/>
  <c r="M877" i="1"/>
  <c r="N877" i="1"/>
  <c r="B878" i="1"/>
  <c r="K878" i="1"/>
  <c r="L878" i="1"/>
  <c r="M878" i="1"/>
  <c r="N878" i="1"/>
  <c r="B879" i="1"/>
  <c r="K879" i="1"/>
  <c r="L879" i="1"/>
  <c r="M879" i="1"/>
  <c r="N879" i="1"/>
  <c r="B880" i="1"/>
  <c r="K880" i="1"/>
  <c r="L880" i="1"/>
  <c r="M880" i="1"/>
  <c r="N880" i="1"/>
  <c r="B881" i="1"/>
  <c r="K881" i="1"/>
  <c r="L881" i="1"/>
  <c r="M881" i="1"/>
  <c r="N881" i="1"/>
  <c r="B882" i="1"/>
  <c r="K882" i="1"/>
  <c r="L882" i="1"/>
  <c r="M882" i="1"/>
  <c r="N882" i="1"/>
  <c r="B883" i="1"/>
  <c r="K883" i="1"/>
  <c r="L883" i="1"/>
  <c r="M883" i="1"/>
  <c r="N883" i="1"/>
  <c r="B884" i="1"/>
  <c r="K884" i="1"/>
  <c r="L884" i="1"/>
  <c r="M884" i="1"/>
  <c r="N884" i="1"/>
  <c r="B885" i="1"/>
  <c r="K885" i="1"/>
  <c r="L885" i="1"/>
  <c r="M885" i="1"/>
  <c r="N885" i="1"/>
  <c r="B886" i="1"/>
  <c r="K886" i="1"/>
  <c r="L886" i="1"/>
  <c r="M886" i="1"/>
  <c r="N886" i="1"/>
  <c r="B887" i="1"/>
  <c r="K887" i="1"/>
  <c r="L887" i="1"/>
  <c r="M887" i="1"/>
  <c r="N887" i="1"/>
  <c r="B888" i="1"/>
  <c r="K888" i="1"/>
  <c r="L888" i="1"/>
  <c r="M888" i="1"/>
  <c r="N888" i="1"/>
  <c r="B889" i="1"/>
  <c r="K889" i="1"/>
  <c r="L889" i="1"/>
  <c r="M889" i="1"/>
  <c r="N889" i="1"/>
  <c r="B890" i="1"/>
  <c r="K890" i="1"/>
  <c r="L890" i="1"/>
  <c r="M890" i="1"/>
  <c r="N890" i="1"/>
  <c r="B891" i="1"/>
  <c r="K891" i="1"/>
  <c r="L891" i="1"/>
  <c r="M891" i="1"/>
  <c r="N891" i="1"/>
  <c r="B892" i="1"/>
  <c r="K892" i="1"/>
  <c r="L892" i="1"/>
  <c r="M892" i="1"/>
  <c r="N892" i="1"/>
  <c r="B893" i="1"/>
  <c r="K893" i="1"/>
  <c r="L893" i="1"/>
  <c r="M893" i="1"/>
  <c r="N893" i="1"/>
  <c r="B894" i="1"/>
  <c r="K894" i="1"/>
  <c r="L894" i="1"/>
  <c r="M894" i="1"/>
  <c r="N894" i="1"/>
  <c r="B895" i="1"/>
  <c r="K895" i="1"/>
  <c r="L895" i="1"/>
  <c r="M895" i="1"/>
  <c r="N895" i="1"/>
  <c r="B896" i="1"/>
  <c r="K896" i="1"/>
  <c r="L896" i="1"/>
  <c r="M896" i="1"/>
  <c r="N896" i="1"/>
  <c r="B897" i="1"/>
  <c r="K897" i="1"/>
  <c r="L897" i="1"/>
  <c r="M897" i="1"/>
  <c r="N897" i="1"/>
  <c r="B898" i="1"/>
  <c r="K898" i="1"/>
  <c r="L898" i="1"/>
  <c r="M898" i="1"/>
  <c r="N898" i="1"/>
  <c r="B899" i="1"/>
  <c r="K899" i="1"/>
  <c r="L899" i="1"/>
  <c r="M899" i="1"/>
  <c r="N899" i="1"/>
  <c r="B900" i="1"/>
  <c r="K900" i="1"/>
  <c r="L900" i="1"/>
  <c r="M900" i="1"/>
  <c r="N900" i="1"/>
  <c r="B901" i="1"/>
  <c r="K901" i="1"/>
  <c r="L901" i="1"/>
  <c r="M901" i="1"/>
  <c r="N901" i="1"/>
  <c r="B902" i="1"/>
  <c r="K902" i="1"/>
  <c r="L902" i="1"/>
  <c r="M902" i="1"/>
  <c r="N902" i="1"/>
  <c r="B903" i="1"/>
  <c r="K903" i="1"/>
  <c r="L903" i="1"/>
  <c r="M903" i="1"/>
  <c r="N903" i="1"/>
  <c r="B904" i="1"/>
  <c r="K904" i="1"/>
  <c r="L904" i="1"/>
  <c r="M904" i="1"/>
  <c r="N904" i="1"/>
  <c r="B905" i="1"/>
  <c r="K905" i="1"/>
  <c r="L905" i="1"/>
  <c r="M905" i="1"/>
  <c r="N905" i="1"/>
  <c r="B906" i="1"/>
  <c r="K906" i="1"/>
  <c r="L906" i="1"/>
  <c r="M906" i="1"/>
  <c r="N906" i="1"/>
  <c r="B907" i="1"/>
  <c r="K907" i="1"/>
  <c r="L907" i="1"/>
  <c r="M907" i="1"/>
  <c r="N907" i="1"/>
  <c r="B908" i="1"/>
  <c r="K908" i="1"/>
  <c r="L908" i="1"/>
  <c r="M908" i="1"/>
  <c r="N908" i="1"/>
  <c r="B909" i="1"/>
  <c r="K909" i="1"/>
  <c r="L909" i="1"/>
  <c r="M909" i="1"/>
  <c r="N909" i="1"/>
  <c r="B910" i="1"/>
  <c r="K910" i="1"/>
  <c r="L910" i="1"/>
  <c r="M910" i="1"/>
  <c r="N910" i="1"/>
  <c r="B911" i="1"/>
  <c r="K911" i="1"/>
  <c r="L911" i="1"/>
  <c r="M911" i="1"/>
  <c r="N911" i="1"/>
  <c r="B912" i="1"/>
  <c r="K912" i="1"/>
  <c r="L912" i="1"/>
  <c r="M912" i="1"/>
  <c r="N912" i="1"/>
  <c r="B913" i="1"/>
  <c r="K913" i="1"/>
  <c r="L913" i="1"/>
  <c r="M913" i="1"/>
  <c r="N913" i="1"/>
  <c r="B914" i="1"/>
  <c r="K914" i="1"/>
  <c r="L914" i="1"/>
  <c r="M914" i="1"/>
  <c r="N914" i="1"/>
  <c r="B915" i="1"/>
  <c r="K915" i="1"/>
  <c r="L915" i="1"/>
  <c r="M915" i="1"/>
  <c r="N915" i="1"/>
  <c r="B916" i="1"/>
  <c r="K916" i="1"/>
  <c r="L916" i="1"/>
  <c r="M916" i="1"/>
  <c r="N916" i="1"/>
  <c r="B917" i="1"/>
  <c r="K917" i="1"/>
  <c r="L917" i="1"/>
  <c r="M917" i="1"/>
  <c r="N917" i="1"/>
  <c r="B918" i="1"/>
  <c r="K918" i="1"/>
  <c r="L918" i="1"/>
  <c r="M918" i="1"/>
  <c r="N918" i="1"/>
  <c r="B919" i="1"/>
  <c r="K919" i="1"/>
  <c r="L919" i="1"/>
  <c r="M919" i="1"/>
  <c r="N919" i="1"/>
  <c r="B920" i="1"/>
  <c r="K920" i="1"/>
  <c r="L920" i="1"/>
  <c r="M920" i="1"/>
  <c r="N920" i="1"/>
  <c r="B921" i="1"/>
  <c r="K921" i="1"/>
  <c r="L921" i="1"/>
  <c r="M921" i="1"/>
  <c r="N921" i="1"/>
  <c r="B922" i="1"/>
  <c r="K922" i="1"/>
  <c r="L922" i="1"/>
  <c r="M922" i="1"/>
  <c r="N922" i="1"/>
  <c r="B923" i="1"/>
  <c r="K923" i="1"/>
  <c r="L923" i="1"/>
  <c r="M923" i="1"/>
  <c r="N923" i="1"/>
  <c r="B924" i="1"/>
  <c r="K924" i="1"/>
  <c r="L924" i="1"/>
  <c r="M924" i="1"/>
  <c r="N924" i="1"/>
  <c r="B925" i="1"/>
  <c r="K925" i="1"/>
  <c r="L925" i="1"/>
  <c r="M925" i="1"/>
  <c r="N925" i="1"/>
  <c r="B926" i="1"/>
  <c r="K926" i="1"/>
  <c r="L926" i="1"/>
  <c r="M926" i="1"/>
  <c r="N926" i="1"/>
  <c r="B927" i="1"/>
  <c r="K927" i="1"/>
  <c r="L927" i="1"/>
  <c r="M927" i="1"/>
  <c r="N927" i="1"/>
  <c r="B928" i="1"/>
  <c r="K928" i="1"/>
  <c r="L928" i="1"/>
  <c r="M928" i="1"/>
  <c r="N928" i="1"/>
  <c r="B929" i="1"/>
  <c r="K929" i="1"/>
  <c r="L929" i="1"/>
  <c r="M929" i="1"/>
  <c r="N929" i="1"/>
  <c r="B930" i="1"/>
  <c r="K930" i="1"/>
  <c r="L930" i="1"/>
  <c r="M930" i="1"/>
  <c r="N930" i="1"/>
  <c r="B931" i="1"/>
  <c r="K931" i="1"/>
  <c r="L931" i="1"/>
  <c r="M931" i="1"/>
  <c r="N931" i="1"/>
  <c r="B932" i="1"/>
  <c r="K932" i="1"/>
  <c r="L932" i="1"/>
  <c r="M932" i="1"/>
  <c r="N932" i="1"/>
  <c r="B933" i="1"/>
  <c r="K933" i="1"/>
  <c r="L933" i="1"/>
  <c r="M933" i="1"/>
  <c r="N933" i="1"/>
  <c r="B934" i="1"/>
  <c r="K934" i="1"/>
  <c r="L934" i="1"/>
  <c r="M934" i="1"/>
  <c r="N934" i="1"/>
  <c r="B935" i="1"/>
  <c r="K935" i="1"/>
  <c r="L935" i="1"/>
  <c r="M935" i="1"/>
  <c r="N935" i="1"/>
  <c r="B936" i="1"/>
  <c r="K936" i="1"/>
  <c r="L936" i="1"/>
  <c r="M936" i="1"/>
  <c r="N936" i="1"/>
  <c r="B937" i="1"/>
  <c r="K937" i="1"/>
  <c r="L937" i="1"/>
  <c r="M937" i="1"/>
  <c r="N937" i="1"/>
  <c r="B938" i="1"/>
  <c r="K938" i="1"/>
  <c r="L938" i="1"/>
  <c r="M938" i="1"/>
  <c r="N938" i="1"/>
  <c r="B939" i="1"/>
  <c r="K939" i="1"/>
  <c r="L939" i="1"/>
  <c r="M939" i="1"/>
  <c r="N939" i="1"/>
  <c r="B940" i="1"/>
  <c r="K940" i="1"/>
  <c r="L940" i="1"/>
  <c r="M940" i="1"/>
  <c r="N940" i="1"/>
  <c r="B941" i="1"/>
  <c r="K941" i="1"/>
  <c r="L941" i="1"/>
  <c r="M941" i="1"/>
  <c r="N941" i="1"/>
  <c r="B942" i="1"/>
  <c r="K942" i="1"/>
  <c r="L942" i="1"/>
  <c r="M942" i="1"/>
  <c r="N942" i="1"/>
  <c r="B943" i="1"/>
  <c r="K943" i="1"/>
  <c r="L943" i="1"/>
  <c r="M943" i="1"/>
  <c r="N943" i="1"/>
  <c r="B944" i="1"/>
  <c r="K944" i="1"/>
  <c r="L944" i="1"/>
  <c r="M944" i="1"/>
  <c r="N944" i="1"/>
  <c r="B945" i="1"/>
  <c r="K945" i="1"/>
  <c r="L945" i="1"/>
  <c r="M945" i="1"/>
  <c r="N945" i="1"/>
  <c r="B946" i="1"/>
  <c r="K946" i="1"/>
  <c r="L946" i="1"/>
  <c r="M946" i="1"/>
  <c r="N946" i="1"/>
  <c r="B947" i="1"/>
  <c r="K947" i="1"/>
  <c r="L947" i="1"/>
  <c r="M947" i="1"/>
  <c r="N947" i="1"/>
  <c r="B948" i="1"/>
  <c r="K948" i="1"/>
  <c r="L948" i="1"/>
  <c r="M948" i="1"/>
  <c r="N948" i="1"/>
  <c r="B949" i="1"/>
  <c r="K949" i="1"/>
  <c r="L949" i="1"/>
  <c r="M949" i="1"/>
  <c r="N949" i="1"/>
  <c r="B950" i="1"/>
  <c r="K950" i="1"/>
  <c r="L950" i="1"/>
  <c r="M950" i="1"/>
  <c r="N950" i="1"/>
  <c r="B951" i="1"/>
  <c r="K951" i="1"/>
  <c r="L951" i="1"/>
  <c r="M951" i="1"/>
  <c r="N951" i="1"/>
  <c r="B952" i="1"/>
  <c r="K952" i="1"/>
  <c r="L952" i="1"/>
  <c r="M952" i="1"/>
  <c r="N952" i="1"/>
  <c r="B953" i="1"/>
  <c r="K953" i="1"/>
  <c r="L953" i="1"/>
  <c r="M953" i="1"/>
  <c r="N953" i="1"/>
  <c r="B954" i="1"/>
  <c r="K954" i="1"/>
  <c r="L954" i="1"/>
  <c r="M954" i="1"/>
  <c r="N954" i="1"/>
  <c r="B955" i="1"/>
  <c r="K955" i="1"/>
  <c r="L955" i="1"/>
  <c r="M955" i="1"/>
  <c r="N955" i="1"/>
  <c r="B956" i="1"/>
  <c r="K956" i="1"/>
  <c r="L956" i="1"/>
  <c r="M956" i="1"/>
  <c r="N956" i="1"/>
  <c r="B957" i="1"/>
  <c r="K957" i="1"/>
  <c r="L957" i="1"/>
  <c r="M957" i="1"/>
  <c r="N957" i="1"/>
  <c r="B958" i="1"/>
  <c r="K958" i="1"/>
  <c r="L958" i="1"/>
  <c r="M958" i="1"/>
  <c r="N958" i="1"/>
  <c r="B959" i="1"/>
  <c r="K959" i="1"/>
  <c r="L959" i="1"/>
  <c r="M959" i="1"/>
  <c r="N959" i="1"/>
  <c r="B960" i="1"/>
  <c r="K960" i="1"/>
  <c r="L960" i="1"/>
  <c r="M960" i="1"/>
  <c r="N960" i="1"/>
  <c r="B961" i="1"/>
  <c r="K961" i="1"/>
  <c r="L961" i="1"/>
  <c r="M961" i="1"/>
  <c r="N961" i="1"/>
  <c r="B962" i="1"/>
  <c r="K962" i="1"/>
  <c r="L962" i="1"/>
  <c r="M962" i="1"/>
  <c r="N962" i="1"/>
  <c r="B963" i="1"/>
  <c r="K963" i="1"/>
  <c r="L963" i="1"/>
  <c r="M963" i="1"/>
  <c r="N963" i="1"/>
  <c r="B964" i="1"/>
  <c r="K964" i="1"/>
  <c r="L964" i="1"/>
  <c r="M964" i="1"/>
  <c r="N964" i="1"/>
  <c r="B965" i="1"/>
  <c r="K965" i="1"/>
  <c r="L965" i="1"/>
  <c r="M965" i="1"/>
  <c r="N965" i="1"/>
  <c r="B966" i="1"/>
  <c r="K966" i="1"/>
  <c r="L966" i="1"/>
  <c r="M966" i="1"/>
  <c r="N966" i="1"/>
  <c r="B967" i="1"/>
  <c r="K967" i="1"/>
  <c r="L967" i="1"/>
  <c r="M967" i="1"/>
  <c r="N967" i="1"/>
  <c r="B968" i="1"/>
  <c r="K968" i="1"/>
  <c r="L968" i="1"/>
  <c r="M968" i="1"/>
  <c r="N968" i="1"/>
  <c r="B969" i="1"/>
  <c r="K969" i="1"/>
  <c r="L969" i="1"/>
  <c r="M969" i="1"/>
  <c r="N969" i="1"/>
  <c r="B970" i="1"/>
  <c r="K970" i="1"/>
  <c r="L970" i="1"/>
  <c r="M970" i="1"/>
  <c r="N970" i="1"/>
  <c r="B971" i="1"/>
  <c r="K971" i="1"/>
  <c r="L971" i="1"/>
  <c r="M971" i="1"/>
  <c r="N971" i="1"/>
  <c r="B972" i="1"/>
  <c r="K972" i="1"/>
  <c r="L972" i="1"/>
  <c r="M972" i="1"/>
  <c r="N972" i="1"/>
  <c r="B973" i="1"/>
  <c r="K973" i="1"/>
  <c r="L973" i="1"/>
  <c r="M973" i="1"/>
  <c r="N973" i="1"/>
  <c r="B974" i="1"/>
  <c r="K974" i="1"/>
  <c r="L974" i="1"/>
  <c r="M974" i="1"/>
  <c r="N974" i="1"/>
  <c r="B975" i="1"/>
  <c r="K975" i="1"/>
  <c r="L975" i="1"/>
  <c r="M975" i="1"/>
  <c r="N975" i="1"/>
  <c r="B976" i="1"/>
  <c r="K976" i="1"/>
  <c r="L976" i="1"/>
  <c r="M976" i="1"/>
  <c r="N976" i="1"/>
  <c r="B977" i="1"/>
  <c r="K977" i="1"/>
  <c r="L977" i="1"/>
  <c r="M977" i="1"/>
  <c r="N977" i="1"/>
  <c r="B978" i="1"/>
  <c r="K978" i="1"/>
  <c r="L978" i="1"/>
  <c r="M978" i="1"/>
  <c r="N978" i="1"/>
  <c r="B979" i="1"/>
  <c r="K979" i="1"/>
  <c r="L979" i="1"/>
  <c r="M979" i="1"/>
  <c r="N979" i="1"/>
  <c r="B980" i="1"/>
  <c r="K980" i="1"/>
  <c r="L980" i="1"/>
  <c r="M980" i="1"/>
  <c r="N980" i="1"/>
  <c r="B981" i="1"/>
  <c r="K981" i="1"/>
  <c r="L981" i="1"/>
  <c r="M981" i="1"/>
  <c r="N981" i="1"/>
  <c r="B982" i="1"/>
  <c r="K982" i="1"/>
  <c r="L982" i="1"/>
  <c r="M982" i="1"/>
  <c r="N982" i="1"/>
  <c r="B983" i="1"/>
  <c r="K983" i="1"/>
  <c r="L983" i="1"/>
  <c r="M983" i="1"/>
  <c r="N983" i="1"/>
  <c r="B984" i="1"/>
  <c r="K984" i="1"/>
  <c r="L984" i="1"/>
  <c r="M984" i="1"/>
  <c r="N984" i="1"/>
  <c r="B985" i="1"/>
  <c r="K985" i="1"/>
  <c r="L985" i="1"/>
  <c r="M985" i="1"/>
  <c r="N985" i="1"/>
  <c r="B986" i="1"/>
  <c r="K986" i="1"/>
  <c r="L986" i="1"/>
  <c r="M986" i="1"/>
  <c r="N986" i="1"/>
  <c r="B987" i="1"/>
  <c r="K987" i="1"/>
  <c r="L987" i="1"/>
  <c r="M987" i="1"/>
  <c r="N987" i="1"/>
  <c r="B988" i="1"/>
  <c r="K988" i="1"/>
  <c r="L988" i="1"/>
  <c r="M988" i="1"/>
  <c r="N988" i="1"/>
  <c r="B989" i="1"/>
  <c r="K989" i="1"/>
  <c r="L989" i="1"/>
  <c r="M989" i="1"/>
  <c r="N989" i="1"/>
  <c r="B990" i="1"/>
  <c r="K990" i="1"/>
  <c r="L990" i="1"/>
  <c r="M990" i="1"/>
  <c r="N990" i="1"/>
  <c r="B991" i="1"/>
  <c r="K991" i="1"/>
  <c r="L991" i="1"/>
  <c r="M991" i="1"/>
  <c r="N991" i="1"/>
  <c r="B992" i="1"/>
  <c r="K992" i="1"/>
  <c r="L992" i="1"/>
  <c r="M992" i="1"/>
  <c r="N992" i="1"/>
  <c r="B993" i="1"/>
  <c r="K993" i="1"/>
  <c r="L993" i="1"/>
  <c r="M993" i="1"/>
  <c r="N993" i="1"/>
  <c r="B994" i="1"/>
  <c r="K994" i="1"/>
  <c r="L994" i="1"/>
  <c r="M994" i="1"/>
  <c r="N994" i="1"/>
  <c r="B995" i="1"/>
  <c r="K995" i="1"/>
  <c r="L995" i="1"/>
  <c r="M995" i="1"/>
  <c r="N995" i="1"/>
  <c r="B996" i="1"/>
  <c r="K996" i="1"/>
  <c r="L996" i="1"/>
  <c r="M996" i="1"/>
  <c r="N996" i="1"/>
  <c r="B997" i="1"/>
  <c r="K997" i="1"/>
  <c r="L997" i="1"/>
  <c r="M997" i="1"/>
  <c r="N997" i="1"/>
  <c r="B998" i="1"/>
  <c r="K998" i="1"/>
  <c r="L998" i="1"/>
  <c r="M998" i="1"/>
  <c r="N998" i="1"/>
  <c r="B999" i="1"/>
  <c r="K999" i="1"/>
  <c r="L999" i="1"/>
  <c r="M999" i="1"/>
  <c r="N999" i="1"/>
  <c r="B1000" i="1"/>
  <c r="K1000" i="1"/>
  <c r="L1000" i="1"/>
  <c r="M1000" i="1"/>
  <c r="N1000" i="1"/>
  <c r="B1001" i="1"/>
  <c r="K1001" i="1"/>
  <c r="L1001" i="1"/>
  <c r="M1001" i="1"/>
  <c r="N1001" i="1"/>
  <c r="B1002" i="1"/>
  <c r="K1002" i="1"/>
  <c r="L1002" i="1"/>
  <c r="M1002" i="1"/>
  <c r="N1002" i="1"/>
  <c r="B1003" i="1"/>
  <c r="K1003" i="1"/>
  <c r="L1003" i="1"/>
  <c r="M1003" i="1"/>
  <c r="N1003" i="1"/>
  <c r="B1004" i="1"/>
  <c r="K1004" i="1"/>
  <c r="L1004" i="1"/>
  <c r="M1004" i="1"/>
  <c r="N1004" i="1"/>
  <c r="B1005" i="1"/>
  <c r="K1005" i="1"/>
  <c r="L1005" i="1"/>
  <c r="M1005" i="1"/>
  <c r="N1005" i="1"/>
  <c r="B1006" i="1"/>
  <c r="K1006" i="1"/>
  <c r="L1006" i="1"/>
  <c r="M1006" i="1"/>
  <c r="N1006" i="1"/>
  <c r="B1007" i="1"/>
  <c r="K1007" i="1"/>
  <c r="L1007" i="1"/>
  <c r="M1007" i="1"/>
  <c r="N1007" i="1"/>
  <c r="B1008" i="1"/>
  <c r="K1008" i="1"/>
  <c r="L1008" i="1"/>
  <c r="M1008" i="1"/>
  <c r="N1008" i="1"/>
  <c r="B1009" i="1"/>
  <c r="K1009" i="1"/>
  <c r="L1009" i="1"/>
  <c r="M1009" i="1"/>
  <c r="N1009" i="1"/>
  <c r="B1010" i="1"/>
  <c r="K1010" i="1"/>
  <c r="L1010" i="1"/>
  <c r="M1010" i="1"/>
  <c r="N1010" i="1"/>
  <c r="B1011" i="1"/>
  <c r="K1011" i="1"/>
  <c r="L1011" i="1"/>
  <c r="M1011" i="1"/>
  <c r="N1011" i="1"/>
  <c r="B1012" i="1"/>
  <c r="K1012" i="1"/>
  <c r="L1012" i="1"/>
  <c r="M1012" i="1"/>
  <c r="N1012" i="1"/>
  <c r="B1013" i="1"/>
  <c r="K1013" i="1"/>
  <c r="L1013" i="1"/>
  <c r="M1013" i="1"/>
  <c r="N1013" i="1"/>
  <c r="B1014" i="1"/>
  <c r="K1014" i="1"/>
  <c r="L1014" i="1"/>
  <c r="M1014" i="1"/>
  <c r="N1014" i="1"/>
  <c r="B1015" i="1"/>
  <c r="K1015" i="1"/>
  <c r="L1015" i="1"/>
  <c r="M1015" i="1"/>
  <c r="N1015" i="1"/>
  <c r="B1016" i="1"/>
  <c r="K1016" i="1"/>
  <c r="L1016" i="1"/>
  <c r="M1016" i="1"/>
  <c r="N1016" i="1"/>
  <c r="B1017" i="1"/>
  <c r="K1017" i="1"/>
  <c r="L1017" i="1"/>
  <c r="M1017" i="1"/>
  <c r="N1017" i="1"/>
  <c r="B1018" i="1"/>
  <c r="K1018" i="1"/>
  <c r="L1018" i="1"/>
  <c r="M1018" i="1"/>
  <c r="N1018" i="1"/>
  <c r="B1019" i="1"/>
  <c r="K1019" i="1"/>
  <c r="L1019" i="1"/>
  <c r="M1019" i="1"/>
  <c r="N1019" i="1"/>
  <c r="B1020" i="1"/>
  <c r="K1020" i="1"/>
  <c r="L1020" i="1"/>
  <c r="M1020" i="1"/>
  <c r="N1020" i="1"/>
  <c r="B1021" i="1"/>
  <c r="K1021" i="1"/>
  <c r="L1021" i="1"/>
  <c r="M1021" i="1"/>
  <c r="N1021" i="1"/>
  <c r="B1022" i="1"/>
  <c r="K1022" i="1"/>
  <c r="L1022" i="1"/>
  <c r="M1022" i="1"/>
  <c r="N1022" i="1"/>
  <c r="B1023" i="1"/>
  <c r="K1023" i="1"/>
  <c r="L1023" i="1"/>
  <c r="M1023" i="1"/>
  <c r="N1023" i="1"/>
  <c r="B1024" i="1"/>
  <c r="K1024" i="1"/>
  <c r="L1024" i="1"/>
  <c r="M1024" i="1"/>
  <c r="N1024" i="1"/>
  <c r="B1025" i="1"/>
  <c r="K1025" i="1"/>
  <c r="L1025" i="1"/>
  <c r="M1025" i="1"/>
  <c r="N1025" i="1"/>
  <c r="B1026" i="1"/>
  <c r="K1026" i="1"/>
  <c r="L1026" i="1"/>
  <c r="M1026" i="1"/>
  <c r="N1026" i="1"/>
  <c r="B1027" i="1"/>
  <c r="K1027" i="1"/>
  <c r="L1027" i="1"/>
  <c r="M1027" i="1"/>
  <c r="N1027" i="1"/>
  <c r="B1028" i="1"/>
  <c r="K1028" i="1"/>
  <c r="L1028" i="1"/>
  <c r="M1028" i="1"/>
  <c r="N1028" i="1"/>
  <c r="B1029" i="1"/>
  <c r="K1029" i="1"/>
  <c r="L1029" i="1"/>
  <c r="M1029" i="1"/>
  <c r="N1029" i="1"/>
  <c r="B1030" i="1"/>
  <c r="K1030" i="1"/>
  <c r="L1030" i="1"/>
  <c r="M1030" i="1"/>
  <c r="N1030" i="1"/>
  <c r="B1031" i="1"/>
  <c r="K1031" i="1"/>
  <c r="L1031" i="1"/>
  <c r="M1031" i="1"/>
  <c r="N1031" i="1"/>
  <c r="B1032" i="1"/>
  <c r="K1032" i="1"/>
  <c r="L1032" i="1"/>
  <c r="M1032" i="1"/>
  <c r="N1032" i="1"/>
  <c r="B1033" i="1"/>
  <c r="K1033" i="1"/>
  <c r="L1033" i="1"/>
  <c r="M1033" i="1"/>
  <c r="N1033" i="1"/>
  <c r="B1034" i="1"/>
  <c r="K1034" i="1"/>
  <c r="L1034" i="1"/>
  <c r="M1034" i="1"/>
  <c r="N1034" i="1"/>
  <c r="B1035" i="1"/>
  <c r="K1035" i="1"/>
  <c r="L1035" i="1"/>
  <c r="M1035" i="1"/>
  <c r="N1035" i="1"/>
  <c r="B1036" i="1"/>
  <c r="K1036" i="1"/>
  <c r="L1036" i="1"/>
  <c r="M1036" i="1"/>
  <c r="N1036" i="1"/>
  <c r="B1037" i="1"/>
  <c r="K1037" i="1"/>
  <c r="L1037" i="1"/>
  <c r="M1037" i="1"/>
  <c r="N1037" i="1"/>
  <c r="B1038" i="1"/>
  <c r="K1038" i="1"/>
  <c r="L1038" i="1"/>
  <c r="M1038" i="1"/>
  <c r="N1038" i="1"/>
  <c r="B1039" i="1"/>
  <c r="K1039" i="1"/>
  <c r="L1039" i="1"/>
  <c r="M1039" i="1"/>
  <c r="N1039" i="1"/>
  <c r="B1040" i="1"/>
  <c r="K1040" i="1"/>
  <c r="L1040" i="1"/>
  <c r="M1040" i="1"/>
  <c r="N1040" i="1"/>
  <c r="B1041" i="1"/>
  <c r="K1041" i="1"/>
  <c r="L1041" i="1"/>
  <c r="M1041" i="1"/>
  <c r="N1041" i="1"/>
  <c r="B1042" i="1"/>
  <c r="K1042" i="1"/>
  <c r="L1042" i="1"/>
  <c r="M1042" i="1"/>
  <c r="N1042" i="1"/>
  <c r="B1043" i="1"/>
  <c r="K1043" i="1"/>
  <c r="L1043" i="1"/>
  <c r="M1043" i="1"/>
  <c r="N1043" i="1"/>
  <c r="B1044" i="1"/>
  <c r="K1044" i="1"/>
  <c r="L1044" i="1"/>
  <c r="M1044" i="1"/>
  <c r="N1044" i="1"/>
  <c r="B1045" i="1"/>
  <c r="K1045" i="1"/>
  <c r="L1045" i="1"/>
  <c r="M1045" i="1"/>
  <c r="N1045" i="1"/>
  <c r="B1046" i="1"/>
  <c r="K1046" i="1"/>
  <c r="L1046" i="1"/>
  <c r="M1046" i="1"/>
  <c r="N1046" i="1"/>
  <c r="B1047" i="1"/>
  <c r="K1047" i="1"/>
  <c r="L1047" i="1"/>
  <c r="M1047" i="1"/>
  <c r="N1047" i="1"/>
  <c r="B1048" i="1"/>
  <c r="K1048" i="1"/>
  <c r="L1048" i="1"/>
  <c r="M1048" i="1"/>
  <c r="N1048" i="1"/>
  <c r="B1049" i="1"/>
  <c r="K1049" i="1"/>
  <c r="L1049" i="1"/>
  <c r="M1049" i="1"/>
  <c r="N1049" i="1"/>
  <c r="B1050" i="1"/>
  <c r="K1050" i="1"/>
  <c r="L1050" i="1"/>
  <c r="M1050" i="1"/>
  <c r="N1050" i="1"/>
  <c r="B1051" i="1"/>
  <c r="K1051" i="1"/>
  <c r="L1051" i="1"/>
  <c r="M1051" i="1"/>
  <c r="N1051" i="1"/>
  <c r="B1052" i="1"/>
  <c r="K1052" i="1"/>
  <c r="L1052" i="1"/>
  <c r="M1052" i="1"/>
  <c r="N1052" i="1"/>
  <c r="B1053" i="1"/>
  <c r="K1053" i="1"/>
  <c r="L1053" i="1"/>
  <c r="M1053" i="1"/>
  <c r="N1053" i="1"/>
  <c r="B1054" i="1"/>
  <c r="K1054" i="1"/>
  <c r="L1054" i="1"/>
  <c r="M1054" i="1"/>
  <c r="N1054" i="1"/>
  <c r="B1055" i="1"/>
  <c r="K1055" i="1"/>
  <c r="L1055" i="1"/>
  <c r="M1055" i="1"/>
  <c r="N1055" i="1"/>
  <c r="B1056" i="1"/>
  <c r="K1056" i="1"/>
  <c r="L1056" i="1"/>
  <c r="M1056" i="1"/>
  <c r="N1056" i="1"/>
  <c r="B1057" i="1"/>
  <c r="K1057" i="1"/>
  <c r="L1057" i="1"/>
  <c r="M1057" i="1"/>
  <c r="N1057" i="1"/>
  <c r="B1058" i="1"/>
  <c r="K1058" i="1"/>
  <c r="L1058" i="1"/>
  <c r="M1058" i="1"/>
  <c r="N1058" i="1"/>
  <c r="B1059" i="1"/>
  <c r="K1059" i="1"/>
  <c r="L1059" i="1"/>
  <c r="M1059" i="1"/>
  <c r="N1059" i="1"/>
  <c r="B1060" i="1"/>
  <c r="K1060" i="1"/>
  <c r="L1060" i="1"/>
  <c r="M1060" i="1"/>
  <c r="N1060" i="1"/>
  <c r="B1061" i="1"/>
  <c r="K1061" i="1"/>
  <c r="L1061" i="1"/>
  <c r="M1061" i="1"/>
  <c r="N1061" i="1"/>
  <c r="B1062" i="1"/>
  <c r="K1062" i="1"/>
  <c r="L1062" i="1"/>
  <c r="M1062" i="1"/>
  <c r="N1062" i="1"/>
  <c r="B1063" i="1"/>
  <c r="K1063" i="1"/>
  <c r="L1063" i="1"/>
  <c r="M1063" i="1"/>
  <c r="N1063" i="1"/>
  <c r="B1064" i="1"/>
  <c r="K1064" i="1"/>
  <c r="L1064" i="1"/>
  <c r="M1064" i="1"/>
  <c r="N1064" i="1"/>
  <c r="B1065" i="1"/>
  <c r="K1065" i="1"/>
  <c r="L1065" i="1"/>
  <c r="M1065" i="1"/>
  <c r="N1065" i="1"/>
  <c r="B1066" i="1"/>
  <c r="K1066" i="1"/>
  <c r="L1066" i="1"/>
  <c r="M1066" i="1"/>
  <c r="N1066" i="1"/>
  <c r="B1067" i="1"/>
  <c r="K1067" i="1"/>
  <c r="L1067" i="1"/>
  <c r="M1067" i="1"/>
  <c r="N1067" i="1"/>
  <c r="B1068" i="1"/>
  <c r="K1068" i="1"/>
  <c r="L1068" i="1"/>
  <c r="M1068" i="1"/>
  <c r="N1068" i="1"/>
  <c r="B1069" i="1"/>
  <c r="K1069" i="1"/>
  <c r="L1069" i="1"/>
  <c r="M1069" i="1"/>
  <c r="N1069" i="1"/>
  <c r="B1070" i="1"/>
  <c r="K1070" i="1"/>
  <c r="L1070" i="1"/>
  <c r="M1070" i="1"/>
  <c r="N1070" i="1"/>
  <c r="B1071" i="1"/>
  <c r="K1071" i="1"/>
  <c r="L1071" i="1"/>
  <c r="M1071" i="1"/>
  <c r="N1071" i="1"/>
  <c r="B1072" i="1"/>
  <c r="K1072" i="1"/>
  <c r="L1072" i="1"/>
  <c r="M1072" i="1"/>
  <c r="N1072" i="1"/>
  <c r="B1073" i="1"/>
  <c r="K1073" i="1"/>
  <c r="L1073" i="1"/>
  <c r="M1073" i="1"/>
  <c r="N1073" i="1"/>
  <c r="B1074" i="1"/>
  <c r="K1074" i="1"/>
  <c r="L1074" i="1"/>
  <c r="M1074" i="1"/>
  <c r="N1074" i="1"/>
  <c r="B1075" i="1"/>
  <c r="K1075" i="1"/>
  <c r="L1075" i="1"/>
  <c r="M1075" i="1"/>
  <c r="N1075" i="1"/>
  <c r="B1076" i="1"/>
  <c r="K1076" i="1"/>
  <c r="L1076" i="1"/>
  <c r="M1076" i="1"/>
  <c r="N1076" i="1"/>
  <c r="B1077" i="1"/>
  <c r="K1077" i="1"/>
  <c r="L1077" i="1"/>
  <c r="M1077" i="1"/>
  <c r="N1077" i="1"/>
  <c r="B1078" i="1"/>
  <c r="K1078" i="1"/>
  <c r="L1078" i="1"/>
  <c r="M1078" i="1"/>
  <c r="N1078" i="1"/>
  <c r="B1079" i="1"/>
  <c r="K1079" i="1"/>
  <c r="L1079" i="1"/>
  <c r="M1079" i="1"/>
  <c r="N1079" i="1"/>
  <c r="B1080" i="1"/>
  <c r="K1080" i="1"/>
  <c r="L1080" i="1"/>
  <c r="M1080" i="1"/>
  <c r="N1080" i="1"/>
  <c r="B1081" i="1"/>
  <c r="K1081" i="1"/>
  <c r="L1081" i="1"/>
  <c r="M1081" i="1"/>
  <c r="N1081" i="1"/>
  <c r="B1082" i="1"/>
  <c r="K1082" i="1"/>
  <c r="L1082" i="1"/>
  <c r="M1082" i="1"/>
  <c r="N1082" i="1"/>
  <c r="B1083" i="1"/>
  <c r="K1083" i="1"/>
  <c r="L1083" i="1"/>
  <c r="M1083" i="1"/>
  <c r="N1083" i="1"/>
  <c r="B1084" i="1"/>
  <c r="K1084" i="1"/>
  <c r="L1084" i="1"/>
  <c r="M1084" i="1"/>
  <c r="N1084" i="1"/>
  <c r="B1085" i="1"/>
  <c r="K1085" i="1"/>
  <c r="L1085" i="1"/>
  <c r="M1085" i="1"/>
  <c r="N1085" i="1"/>
  <c r="B1086" i="1"/>
  <c r="K1086" i="1"/>
  <c r="L1086" i="1"/>
  <c r="M1086" i="1"/>
  <c r="N1086" i="1"/>
  <c r="B1087" i="1"/>
  <c r="K1087" i="1"/>
  <c r="L1087" i="1"/>
  <c r="M1087" i="1"/>
  <c r="N1087" i="1"/>
  <c r="B1088" i="1"/>
  <c r="K1088" i="1"/>
  <c r="L1088" i="1"/>
  <c r="M1088" i="1"/>
  <c r="N1088" i="1"/>
  <c r="B1089" i="1"/>
  <c r="K1089" i="1"/>
  <c r="L1089" i="1"/>
  <c r="M1089" i="1"/>
  <c r="N1089" i="1"/>
  <c r="B1090" i="1"/>
  <c r="K1090" i="1"/>
  <c r="L1090" i="1"/>
  <c r="M1090" i="1"/>
  <c r="N1090" i="1"/>
  <c r="B1091" i="1"/>
  <c r="K1091" i="1"/>
  <c r="L1091" i="1"/>
  <c r="M1091" i="1"/>
  <c r="N1091" i="1"/>
  <c r="B1092" i="1"/>
  <c r="K1092" i="1"/>
  <c r="L1092" i="1"/>
  <c r="M1092" i="1"/>
  <c r="N1092" i="1"/>
  <c r="B1093" i="1"/>
  <c r="K1093" i="1"/>
  <c r="L1093" i="1"/>
  <c r="M1093" i="1"/>
  <c r="N1093" i="1"/>
  <c r="B1094" i="1"/>
  <c r="K1094" i="1"/>
  <c r="L1094" i="1"/>
  <c r="M1094" i="1"/>
  <c r="N1094" i="1"/>
  <c r="B1095" i="1"/>
  <c r="K1095" i="1"/>
  <c r="L1095" i="1"/>
  <c r="M1095" i="1"/>
  <c r="N1095" i="1"/>
  <c r="B1096" i="1"/>
  <c r="K1096" i="1"/>
  <c r="L1096" i="1"/>
  <c r="M1096" i="1"/>
  <c r="N1096" i="1"/>
  <c r="B1097" i="1"/>
  <c r="K1097" i="1"/>
  <c r="L1097" i="1"/>
  <c r="M1097" i="1"/>
  <c r="N1097" i="1"/>
  <c r="B1098" i="1"/>
  <c r="K1098" i="1"/>
  <c r="L1098" i="1"/>
  <c r="M1098" i="1"/>
  <c r="N1098" i="1"/>
  <c r="B1099" i="1"/>
  <c r="K1099" i="1"/>
  <c r="L1099" i="1"/>
  <c r="M1099" i="1"/>
  <c r="N1099" i="1"/>
  <c r="B1100" i="1"/>
  <c r="K1100" i="1"/>
  <c r="L1100" i="1"/>
  <c r="M1100" i="1"/>
  <c r="N1100" i="1"/>
  <c r="B1101" i="1"/>
  <c r="K1101" i="1"/>
  <c r="L1101" i="1"/>
  <c r="M1101" i="1"/>
  <c r="N1101" i="1"/>
  <c r="B1102" i="1"/>
  <c r="K1102" i="1"/>
  <c r="L1102" i="1"/>
  <c r="M1102" i="1"/>
  <c r="N1102" i="1"/>
  <c r="B1103" i="1"/>
  <c r="K1103" i="1"/>
  <c r="L1103" i="1"/>
  <c r="M1103" i="1"/>
  <c r="N1103" i="1"/>
  <c r="B1104" i="1"/>
  <c r="K1104" i="1"/>
  <c r="L1104" i="1"/>
  <c r="M1104" i="1"/>
  <c r="N1104" i="1"/>
  <c r="B1105" i="1"/>
  <c r="K1105" i="1"/>
  <c r="L1105" i="1"/>
  <c r="M1105" i="1"/>
  <c r="N1105" i="1"/>
  <c r="B1106" i="1"/>
  <c r="K1106" i="1"/>
  <c r="L1106" i="1"/>
  <c r="M1106" i="1"/>
  <c r="N1106" i="1"/>
  <c r="B1107" i="1"/>
  <c r="K1107" i="1"/>
  <c r="L1107" i="1"/>
  <c r="M1107" i="1"/>
  <c r="N1107" i="1"/>
  <c r="B1108" i="1"/>
  <c r="K1108" i="1"/>
  <c r="L1108" i="1"/>
  <c r="M1108" i="1"/>
  <c r="N1108" i="1"/>
  <c r="B1109" i="1"/>
  <c r="K1109" i="1"/>
  <c r="L1109" i="1"/>
  <c r="M1109" i="1"/>
  <c r="N1109" i="1"/>
  <c r="B1110" i="1"/>
  <c r="K1110" i="1"/>
  <c r="L1110" i="1"/>
  <c r="M1110" i="1"/>
  <c r="N1110" i="1"/>
  <c r="B1111" i="1"/>
  <c r="K1111" i="1"/>
  <c r="L1111" i="1"/>
  <c r="M1111" i="1"/>
  <c r="N1111" i="1"/>
  <c r="B1112" i="1"/>
  <c r="K1112" i="1"/>
  <c r="L1112" i="1"/>
  <c r="M1112" i="1"/>
  <c r="N1112" i="1"/>
  <c r="B1113" i="1"/>
  <c r="K1113" i="1"/>
  <c r="L1113" i="1"/>
  <c r="M1113" i="1"/>
  <c r="N1113" i="1"/>
  <c r="B1114" i="1"/>
  <c r="K1114" i="1"/>
  <c r="L1114" i="1"/>
  <c r="M1114" i="1"/>
  <c r="N1114" i="1"/>
  <c r="B1115" i="1"/>
  <c r="K1115" i="1"/>
  <c r="L1115" i="1"/>
  <c r="M1115" i="1"/>
  <c r="N1115" i="1"/>
  <c r="B1116" i="1"/>
  <c r="K1116" i="1"/>
  <c r="L1116" i="1"/>
  <c r="M1116" i="1"/>
  <c r="N1116" i="1"/>
  <c r="B1117" i="1"/>
  <c r="K1117" i="1"/>
  <c r="L1117" i="1"/>
  <c r="M1117" i="1"/>
  <c r="N1117" i="1"/>
  <c r="B1118" i="1"/>
  <c r="K1118" i="1"/>
  <c r="L1118" i="1"/>
  <c r="M1118" i="1"/>
  <c r="N1118" i="1"/>
  <c r="B1119" i="1"/>
  <c r="K1119" i="1"/>
  <c r="L1119" i="1"/>
  <c r="M1119" i="1"/>
  <c r="N1119" i="1"/>
  <c r="B1120" i="1"/>
  <c r="K1120" i="1"/>
  <c r="L1120" i="1"/>
  <c r="M1120" i="1"/>
  <c r="N1120" i="1"/>
  <c r="B1121" i="1"/>
  <c r="K1121" i="1"/>
  <c r="L1121" i="1"/>
  <c r="M1121" i="1"/>
  <c r="N1121" i="1"/>
  <c r="B1122" i="1"/>
  <c r="K1122" i="1"/>
  <c r="L1122" i="1"/>
  <c r="M1122" i="1"/>
  <c r="N1122" i="1"/>
  <c r="B1123" i="1"/>
  <c r="K1123" i="1"/>
  <c r="L1123" i="1"/>
  <c r="M1123" i="1"/>
  <c r="N1123" i="1"/>
  <c r="B1124" i="1"/>
  <c r="K1124" i="1"/>
  <c r="L1124" i="1"/>
  <c r="M1124" i="1"/>
  <c r="N1124" i="1"/>
  <c r="B1125" i="1"/>
  <c r="K1125" i="1"/>
  <c r="L1125" i="1"/>
  <c r="M1125" i="1"/>
  <c r="N1125" i="1"/>
  <c r="B1126" i="1"/>
  <c r="K1126" i="1"/>
  <c r="L1126" i="1"/>
  <c r="M1126" i="1"/>
  <c r="N1126" i="1"/>
  <c r="B1127" i="1"/>
  <c r="K1127" i="1"/>
  <c r="L1127" i="1"/>
  <c r="M1127" i="1"/>
  <c r="N1127" i="1"/>
  <c r="B1128" i="1"/>
  <c r="K1128" i="1"/>
  <c r="L1128" i="1"/>
  <c r="M1128" i="1"/>
  <c r="N1128" i="1"/>
  <c r="B1129" i="1"/>
  <c r="K1129" i="1"/>
  <c r="L1129" i="1"/>
  <c r="M1129" i="1"/>
  <c r="N1129" i="1"/>
  <c r="B1130" i="1"/>
  <c r="K1130" i="1"/>
  <c r="L1130" i="1"/>
  <c r="M1130" i="1"/>
  <c r="N1130" i="1"/>
  <c r="B1131" i="1"/>
  <c r="K1131" i="1"/>
  <c r="L1131" i="1"/>
  <c r="M1131" i="1"/>
  <c r="N1131" i="1"/>
  <c r="B1132" i="1"/>
  <c r="K1132" i="1"/>
  <c r="L1132" i="1"/>
  <c r="M1132" i="1"/>
  <c r="N1132" i="1"/>
  <c r="B1133" i="1"/>
  <c r="K1133" i="1"/>
  <c r="L1133" i="1"/>
  <c r="M1133" i="1"/>
  <c r="N1133" i="1"/>
  <c r="B1134" i="1"/>
  <c r="K1134" i="1"/>
  <c r="L1134" i="1"/>
  <c r="M1134" i="1"/>
  <c r="N1134" i="1"/>
  <c r="B1135" i="1"/>
  <c r="K1135" i="1"/>
  <c r="L1135" i="1"/>
  <c r="M1135" i="1"/>
  <c r="N1135" i="1"/>
  <c r="B1136" i="1"/>
  <c r="K1136" i="1"/>
  <c r="L1136" i="1"/>
  <c r="M1136" i="1"/>
  <c r="N1136" i="1"/>
  <c r="B1137" i="1"/>
  <c r="K1137" i="1"/>
  <c r="L1137" i="1"/>
  <c r="M1137" i="1"/>
  <c r="N1137" i="1"/>
  <c r="B1138" i="1"/>
  <c r="K1138" i="1"/>
  <c r="L1138" i="1"/>
  <c r="M1138" i="1"/>
  <c r="N1138" i="1"/>
  <c r="B1139" i="1"/>
  <c r="K1139" i="1"/>
  <c r="L1139" i="1"/>
  <c r="M1139" i="1"/>
  <c r="N1139" i="1"/>
  <c r="B1140" i="1"/>
  <c r="K1140" i="1"/>
  <c r="L1140" i="1"/>
  <c r="M1140" i="1"/>
  <c r="N1140" i="1"/>
  <c r="B1141" i="1"/>
  <c r="K1141" i="1"/>
  <c r="L1141" i="1"/>
  <c r="M1141" i="1"/>
  <c r="N1141" i="1"/>
  <c r="B1142" i="1"/>
  <c r="K1142" i="1"/>
  <c r="L1142" i="1"/>
  <c r="M1142" i="1"/>
  <c r="N1142" i="1"/>
  <c r="B1143" i="1"/>
  <c r="K1143" i="1"/>
  <c r="L1143" i="1"/>
  <c r="M1143" i="1"/>
  <c r="N1143" i="1"/>
  <c r="B1144" i="1"/>
  <c r="K1144" i="1"/>
  <c r="L1144" i="1"/>
  <c r="M1144" i="1"/>
  <c r="N1144" i="1"/>
  <c r="B1145" i="1"/>
  <c r="K1145" i="1"/>
  <c r="L1145" i="1"/>
  <c r="M1145" i="1"/>
  <c r="N1145" i="1"/>
  <c r="B1146" i="1"/>
  <c r="K1146" i="1"/>
  <c r="L1146" i="1"/>
  <c r="M1146" i="1"/>
  <c r="N1146" i="1"/>
  <c r="B1147" i="1"/>
  <c r="K1147" i="1"/>
  <c r="L1147" i="1"/>
  <c r="M1147" i="1"/>
  <c r="N1147" i="1"/>
  <c r="B1148" i="1"/>
  <c r="K1148" i="1"/>
  <c r="L1148" i="1"/>
  <c r="M1148" i="1"/>
  <c r="N1148" i="1"/>
  <c r="B1149" i="1"/>
  <c r="K1149" i="1"/>
  <c r="L1149" i="1"/>
  <c r="M1149" i="1"/>
  <c r="N1149" i="1"/>
  <c r="B1150" i="1"/>
  <c r="K1150" i="1"/>
  <c r="L1150" i="1"/>
  <c r="M1150" i="1"/>
  <c r="N1150" i="1"/>
  <c r="B1151" i="1"/>
  <c r="K1151" i="1"/>
  <c r="L1151" i="1"/>
  <c r="M1151" i="1"/>
  <c r="N1151" i="1"/>
  <c r="B1152" i="1"/>
  <c r="K1152" i="1"/>
  <c r="L1152" i="1"/>
  <c r="M1152" i="1"/>
  <c r="N1152" i="1"/>
  <c r="B1153" i="1"/>
  <c r="K1153" i="1"/>
  <c r="L1153" i="1"/>
  <c r="M1153" i="1"/>
  <c r="N1153" i="1"/>
  <c r="B1154" i="1"/>
  <c r="K1154" i="1"/>
  <c r="L1154" i="1"/>
  <c r="M1154" i="1"/>
  <c r="N1154" i="1"/>
  <c r="B1155" i="1"/>
  <c r="K1155" i="1"/>
  <c r="L1155" i="1"/>
  <c r="M1155" i="1"/>
  <c r="N1155" i="1"/>
  <c r="B1156" i="1"/>
  <c r="K1156" i="1"/>
  <c r="L1156" i="1"/>
  <c r="M1156" i="1"/>
  <c r="N1156" i="1"/>
  <c r="B1157" i="1"/>
  <c r="K1157" i="1"/>
  <c r="L1157" i="1"/>
  <c r="M1157" i="1"/>
  <c r="N1157" i="1"/>
  <c r="B1158" i="1"/>
  <c r="K1158" i="1"/>
  <c r="L1158" i="1"/>
  <c r="M1158" i="1"/>
  <c r="N1158" i="1"/>
  <c r="B1159" i="1"/>
  <c r="K1159" i="1"/>
  <c r="L1159" i="1"/>
  <c r="M1159" i="1"/>
  <c r="N1159" i="1"/>
  <c r="B1160" i="1"/>
  <c r="K1160" i="1"/>
  <c r="L1160" i="1"/>
  <c r="M1160" i="1"/>
  <c r="N1160" i="1"/>
  <c r="B1161" i="1"/>
  <c r="K1161" i="1"/>
  <c r="L1161" i="1"/>
  <c r="M1161" i="1"/>
  <c r="N1161" i="1"/>
  <c r="B1162" i="1"/>
  <c r="K1162" i="1"/>
  <c r="L1162" i="1"/>
  <c r="M1162" i="1"/>
  <c r="N1162" i="1"/>
  <c r="B1163" i="1"/>
  <c r="K1163" i="1"/>
  <c r="L1163" i="1"/>
  <c r="M1163" i="1"/>
  <c r="N1163" i="1"/>
  <c r="B1164" i="1"/>
  <c r="K1164" i="1"/>
  <c r="L1164" i="1"/>
  <c r="M1164" i="1"/>
  <c r="N1164" i="1"/>
  <c r="B1165" i="1"/>
  <c r="K1165" i="1"/>
  <c r="L1165" i="1"/>
  <c r="M1165" i="1"/>
  <c r="N1165" i="1"/>
  <c r="B1166" i="1"/>
  <c r="K1166" i="1"/>
  <c r="L1166" i="1"/>
  <c r="M1166" i="1"/>
  <c r="N1166" i="1"/>
  <c r="B1167" i="1"/>
  <c r="K1167" i="1"/>
  <c r="L1167" i="1"/>
  <c r="M1167" i="1"/>
  <c r="N1167" i="1"/>
  <c r="B1168" i="1"/>
  <c r="K1168" i="1"/>
  <c r="L1168" i="1"/>
  <c r="M1168" i="1"/>
  <c r="N1168" i="1"/>
  <c r="B1169" i="1"/>
  <c r="K1169" i="1"/>
  <c r="L1169" i="1"/>
  <c r="M1169" i="1"/>
  <c r="N1169" i="1"/>
  <c r="B1170" i="1"/>
  <c r="K1170" i="1"/>
  <c r="L1170" i="1"/>
  <c r="M1170" i="1"/>
  <c r="N1170" i="1"/>
  <c r="B1171" i="1"/>
  <c r="K1171" i="1"/>
  <c r="L1171" i="1"/>
  <c r="M1171" i="1"/>
  <c r="N1171" i="1"/>
  <c r="B1172" i="1"/>
  <c r="K1172" i="1"/>
  <c r="L1172" i="1"/>
  <c r="M1172" i="1"/>
  <c r="N1172" i="1"/>
  <c r="B1173" i="1"/>
  <c r="K1173" i="1"/>
  <c r="L1173" i="1"/>
  <c r="M1173" i="1"/>
  <c r="N1173" i="1"/>
  <c r="B1174" i="1"/>
  <c r="K1174" i="1"/>
  <c r="L1174" i="1"/>
  <c r="M1174" i="1"/>
  <c r="N1174" i="1"/>
  <c r="B1175" i="1"/>
  <c r="K1175" i="1"/>
  <c r="L1175" i="1"/>
  <c r="M1175" i="1"/>
  <c r="N1175" i="1"/>
  <c r="B1176" i="1"/>
  <c r="K1176" i="1"/>
  <c r="L1176" i="1"/>
  <c r="M1176" i="1"/>
  <c r="N1176" i="1"/>
  <c r="B1177" i="1"/>
  <c r="K1177" i="1"/>
  <c r="L1177" i="1"/>
  <c r="M1177" i="1"/>
  <c r="N1177" i="1"/>
  <c r="B1178" i="1"/>
  <c r="K1178" i="1"/>
  <c r="L1178" i="1"/>
  <c r="M1178" i="1"/>
  <c r="N1178" i="1"/>
  <c r="B1179" i="1"/>
  <c r="K1179" i="1"/>
  <c r="L1179" i="1"/>
  <c r="M1179" i="1"/>
  <c r="N1179" i="1"/>
  <c r="B1180" i="1"/>
  <c r="K1180" i="1"/>
  <c r="L1180" i="1"/>
  <c r="M1180" i="1"/>
  <c r="N1180" i="1"/>
  <c r="B1181" i="1"/>
  <c r="K1181" i="1"/>
  <c r="L1181" i="1"/>
  <c r="M1181" i="1"/>
  <c r="N1181" i="1"/>
  <c r="B1182" i="1"/>
  <c r="K1182" i="1"/>
  <c r="L1182" i="1"/>
  <c r="M1182" i="1"/>
  <c r="N1182" i="1"/>
  <c r="B1183" i="1"/>
  <c r="K1183" i="1"/>
  <c r="L1183" i="1"/>
  <c r="M1183" i="1"/>
  <c r="N1183" i="1"/>
  <c r="B1184" i="1"/>
  <c r="K1184" i="1"/>
  <c r="L1184" i="1"/>
  <c r="M1184" i="1"/>
  <c r="N1184" i="1"/>
  <c r="B1185" i="1"/>
  <c r="K1185" i="1"/>
  <c r="L1185" i="1"/>
  <c r="M1185" i="1"/>
  <c r="N1185" i="1"/>
  <c r="B1186" i="1"/>
  <c r="K1186" i="1"/>
  <c r="L1186" i="1"/>
  <c r="M1186" i="1"/>
  <c r="N1186" i="1"/>
  <c r="B1187" i="1"/>
  <c r="K1187" i="1"/>
  <c r="L1187" i="1"/>
  <c r="M1187" i="1"/>
  <c r="N1187" i="1"/>
  <c r="B1188" i="1"/>
  <c r="K1188" i="1"/>
  <c r="L1188" i="1"/>
  <c r="M1188" i="1"/>
  <c r="N1188" i="1"/>
  <c r="B1189" i="1"/>
  <c r="K1189" i="1"/>
  <c r="L1189" i="1"/>
  <c r="M1189" i="1"/>
  <c r="N1189" i="1"/>
  <c r="B1190" i="1"/>
  <c r="K1190" i="1"/>
  <c r="L1190" i="1"/>
  <c r="M1190" i="1"/>
  <c r="N1190" i="1"/>
  <c r="B1191" i="1"/>
  <c r="K1191" i="1"/>
  <c r="L1191" i="1"/>
  <c r="M1191" i="1"/>
  <c r="N1191" i="1"/>
  <c r="B1192" i="1"/>
  <c r="K1192" i="1"/>
  <c r="L1192" i="1"/>
  <c r="M1192" i="1"/>
  <c r="N1192" i="1"/>
  <c r="B1193" i="1"/>
  <c r="K1193" i="1"/>
  <c r="L1193" i="1"/>
  <c r="M1193" i="1"/>
  <c r="N1193" i="1"/>
  <c r="B1194" i="1"/>
  <c r="K1194" i="1"/>
  <c r="L1194" i="1"/>
  <c r="M1194" i="1"/>
  <c r="N1194" i="1"/>
  <c r="B1195" i="1"/>
  <c r="K1195" i="1"/>
  <c r="L1195" i="1"/>
  <c r="M1195" i="1"/>
  <c r="N1195" i="1"/>
  <c r="B1196" i="1"/>
  <c r="K1196" i="1"/>
  <c r="L1196" i="1"/>
  <c r="M1196" i="1"/>
  <c r="N1196" i="1"/>
  <c r="B1197" i="1"/>
  <c r="K1197" i="1"/>
  <c r="L1197" i="1"/>
  <c r="M1197" i="1"/>
  <c r="N1197" i="1"/>
  <c r="B1198" i="1"/>
  <c r="K1198" i="1"/>
  <c r="L1198" i="1"/>
  <c r="M1198" i="1"/>
  <c r="N1198" i="1"/>
  <c r="B1199" i="1"/>
  <c r="K1199" i="1"/>
  <c r="L1199" i="1"/>
  <c r="M1199" i="1"/>
  <c r="N1199" i="1"/>
  <c r="B1200" i="1"/>
  <c r="K1200" i="1"/>
  <c r="L1200" i="1"/>
  <c r="M1200" i="1"/>
  <c r="N1200" i="1"/>
  <c r="B1201" i="1"/>
  <c r="K1201" i="1"/>
  <c r="L1201" i="1"/>
  <c r="M1201" i="1"/>
  <c r="N1201" i="1"/>
  <c r="B1202" i="1"/>
  <c r="K1202" i="1"/>
  <c r="L1202" i="1"/>
  <c r="M1202" i="1"/>
  <c r="N1202" i="1"/>
  <c r="B1203" i="1"/>
  <c r="K1203" i="1"/>
  <c r="L1203" i="1"/>
  <c r="M1203" i="1"/>
  <c r="N1203" i="1"/>
  <c r="B1204" i="1"/>
  <c r="K1204" i="1"/>
  <c r="L1204" i="1"/>
  <c r="M1204" i="1"/>
  <c r="N1204" i="1"/>
  <c r="B1205" i="1"/>
  <c r="K1205" i="1"/>
  <c r="L1205" i="1"/>
  <c r="M1205" i="1"/>
  <c r="N1205" i="1"/>
  <c r="B1206" i="1"/>
  <c r="K1206" i="1"/>
  <c r="L1206" i="1"/>
  <c r="M1206" i="1"/>
  <c r="N1206" i="1"/>
  <c r="B1207" i="1"/>
  <c r="K1207" i="1"/>
  <c r="L1207" i="1"/>
  <c r="M1207" i="1"/>
  <c r="N1207" i="1"/>
  <c r="B1208" i="1"/>
  <c r="K1208" i="1"/>
  <c r="L1208" i="1"/>
  <c r="M1208" i="1"/>
  <c r="N1208" i="1"/>
  <c r="B1209" i="1"/>
  <c r="K1209" i="1"/>
  <c r="L1209" i="1"/>
  <c r="M1209" i="1"/>
  <c r="N1209" i="1"/>
  <c r="B1210" i="1"/>
  <c r="K1210" i="1"/>
  <c r="L1210" i="1"/>
  <c r="M1210" i="1"/>
  <c r="N1210" i="1"/>
  <c r="B1211" i="1"/>
  <c r="K1211" i="1"/>
  <c r="L1211" i="1"/>
  <c r="M1211" i="1"/>
  <c r="N1211" i="1"/>
  <c r="B1212" i="1"/>
  <c r="K1212" i="1"/>
  <c r="L1212" i="1"/>
  <c r="M1212" i="1"/>
  <c r="N1212" i="1"/>
  <c r="B1213" i="1"/>
  <c r="K1213" i="1"/>
  <c r="L1213" i="1"/>
  <c r="M1213" i="1"/>
  <c r="N1213" i="1"/>
  <c r="B1214" i="1"/>
  <c r="K1214" i="1"/>
  <c r="L1214" i="1"/>
  <c r="M1214" i="1"/>
  <c r="N1214" i="1"/>
  <c r="B1215" i="1"/>
  <c r="K1215" i="1"/>
  <c r="L1215" i="1"/>
  <c r="M1215" i="1"/>
  <c r="N1215" i="1"/>
  <c r="B1216" i="1"/>
  <c r="K1216" i="1"/>
  <c r="L1216" i="1"/>
  <c r="M1216" i="1"/>
  <c r="N1216" i="1"/>
  <c r="B1217" i="1"/>
  <c r="K1217" i="1"/>
  <c r="L1217" i="1"/>
  <c r="M1217" i="1"/>
  <c r="N1217" i="1"/>
  <c r="B1218" i="1"/>
  <c r="K1218" i="1"/>
  <c r="L1218" i="1"/>
  <c r="M1218" i="1"/>
  <c r="N1218" i="1"/>
  <c r="B1219" i="1"/>
  <c r="K1219" i="1"/>
  <c r="L1219" i="1"/>
  <c r="M1219" i="1"/>
  <c r="N1219" i="1"/>
  <c r="B1220" i="1"/>
  <c r="K1220" i="1"/>
  <c r="L1220" i="1"/>
  <c r="M1220" i="1"/>
  <c r="N1220" i="1"/>
  <c r="B1221" i="1"/>
  <c r="K1221" i="1"/>
  <c r="L1221" i="1"/>
  <c r="M1221" i="1"/>
  <c r="N1221" i="1"/>
  <c r="B1222" i="1"/>
  <c r="K1222" i="1"/>
  <c r="L1222" i="1"/>
  <c r="M1222" i="1"/>
  <c r="N1222" i="1"/>
  <c r="B1223" i="1"/>
  <c r="K1223" i="1"/>
  <c r="L1223" i="1"/>
  <c r="M1223" i="1"/>
  <c r="N1223" i="1"/>
  <c r="B1224" i="1"/>
  <c r="K1224" i="1"/>
  <c r="L1224" i="1"/>
  <c r="M1224" i="1"/>
  <c r="N1224" i="1"/>
  <c r="B1225" i="1"/>
  <c r="K1225" i="1"/>
  <c r="L1225" i="1"/>
  <c r="M1225" i="1"/>
  <c r="N1225" i="1"/>
  <c r="B1226" i="1"/>
  <c r="K1226" i="1"/>
  <c r="L1226" i="1"/>
  <c r="M1226" i="1"/>
  <c r="N1226" i="1"/>
  <c r="B1227" i="1"/>
  <c r="K1227" i="1"/>
  <c r="L1227" i="1"/>
  <c r="M1227" i="1"/>
  <c r="N1227" i="1"/>
  <c r="B1228" i="1"/>
  <c r="K1228" i="1"/>
  <c r="L1228" i="1"/>
  <c r="M1228" i="1"/>
  <c r="N1228" i="1"/>
  <c r="B1229" i="1"/>
  <c r="K1229" i="1"/>
  <c r="L1229" i="1"/>
  <c r="M1229" i="1"/>
  <c r="N1229" i="1"/>
  <c r="B1230" i="1"/>
  <c r="K1230" i="1"/>
  <c r="L1230" i="1"/>
  <c r="M1230" i="1"/>
  <c r="N1230" i="1"/>
  <c r="B1231" i="1"/>
  <c r="K1231" i="1"/>
  <c r="L1231" i="1"/>
  <c r="M1231" i="1"/>
  <c r="N1231" i="1"/>
  <c r="B1232" i="1"/>
  <c r="K1232" i="1"/>
  <c r="L1232" i="1"/>
  <c r="M1232" i="1"/>
  <c r="N1232" i="1"/>
  <c r="B1233" i="1"/>
  <c r="K1233" i="1"/>
  <c r="L1233" i="1"/>
  <c r="M1233" i="1"/>
  <c r="N1233" i="1"/>
  <c r="B1234" i="1"/>
  <c r="K1234" i="1"/>
  <c r="L1234" i="1"/>
  <c r="M1234" i="1"/>
  <c r="N1234" i="1"/>
  <c r="B1235" i="1"/>
  <c r="K1235" i="1"/>
  <c r="L1235" i="1"/>
  <c r="M1235" i="1"/>
  <c r="N1235" i="1"/>
  <c r="B1236" i="1"/>
  <c r="K1236" i="1"/>
  <c r="L1236" i="1"/>
  <c r="M1236" i="1"/>
  <c r="N1236" i="1"/>
  <c r="B1237" i="1"/>
  <c r="K1237" i="1"/>
  <c r="L1237" i="1"/>
  <c r="M1237" i="1"/>
  <c r="N1237" i="1"/>
  <c r="B1238" i="1"/>
  <c r="K1238" i="1"/>
  <c r="L1238" i="1"/>
  <c r="M1238" i="1"/>
  <c r="N1238" i="1"/>
  <c r="B1239" i="1"/>
  <c r="K1239" i="1"/>
  <c r="L1239" i="1"/>
  <c r="M1239" i="1"/>
  <c r="N1239" i="1"/>
  <c r="B1240" i="1"/>
  <c r="K1240" i="1"/>
  <c r="L1240" i="1"/>
  <c r="M1240" i="1"/>
  <c r="N1240" i="1"/>
  <c r="B1241" i="1"/>
  <c r="K1241" i="1"/>
  <c r="L1241" i="1"/>
  <c r="M1241" i="1"/>
  <c r="N1241" i="1"/>
  <c r="B1242" i="1"/>
  <c r="K1242" i="1"/>
  <c r="L1242" i="1"/>
  <c r="M1242" i="1"/>
  <c r="N1242" i="1"/>
  <c r="B1243" i="1"/>
  <c r="K1243" i="1"/>
  <c r="L1243" i="1"/>
  <c r="M1243" i="1"/>
  <c r="N1243" i="1"/>
  <c r="B1244" i="1"/>
  <c r="K1244" i="1"/>
  <c r="L1244" i="1"/>
  <c r="M1244" i="1"/>
  <c r="N1244" i="1"/>
  <c r="B1245" i="1"/>
  <c r="K1245" i="1"/>
  <c r="L1245" i="1"/>
  <c r="M1245" i="1"/>
  <c r="N1245" i="1"/>
  <c r="B1246" i="1"/>
  <c r="K1246" i="1"/>
  <c r="L1246" i="1"/>
  <c r="M1246" i="1"/>
  <c r="N1246" i="1"/>
  <c r="B1247" i="1"/>
  <c r="K1247" i="1"/>
  <c r="L1247" i="1"/>
  <c r="M1247" i="1"/>
  <c r="N1247" i="1"/>
  <c r="B1248" i="1"/>
  <c r="K1248" i="1"/>
  <c r="L1248" i="1"/>
  <c r="M1248" i="1"/>
  <c r="N1248" i="1"/>
  <c r="B1249" i="1"/>
  <c r="K1249" i="1"/>
  <c r="L1249" i="1"/>
  <c r="M1249" i="1"/>
  <c r="N1249" i="1"/>
  <c r="B1250" i="1"/>
  <c r="K1250" i="1"/>
  <c r="L1250" i="1"/>
  <c r="M1250" i="1"/>
  <c r="N1250" i="1"/>
  <c r="B1251" i="1"/>
  <c r="K1251" i="1"/>
  <c r="L1251" i="1"/>
  <c r="M1251" i="1"/>
  <c r="N1251" i="1"/>
  <c r="B1252" i="1"/>
  <c r="K1252" i="1"/>
  <c r="L1252" i="1"/>
  <c r="M1252" i="1"/>
  <c r="N1252" i="1"/>
  <c r="B1253" i="1"/>
  <c r="K1253" i="1"/>
  <c r="L1253" i="1"/>
  <c r="M1253" i="1"/>
  <c r="N1253" i="1"/>
  <c r="B1254" i="1"/>
  <c r="K1254" i="1"/>
  <c r="L1254" i="1"/>
  <c r="M1254" i="1"/>
  <c r="N1254" i="1"/>
  <c r="B1255" i="1"/>
  <c r="K1255" i="1"/>
  <c r="L1255" i="1"/>
  <c r="M1255" i="1"/>
  <c r="N1255" i="1"/>
  <c r="B1256" i="1"/>
  <c r="K1256" i="1"/>
  <c r="L1256" i="1"/>
  <c r="M1256" i="1"/>
  <c r="N1256" i="1"/>
  <c r="B1257" i="1"/>
  <c r="K1257" i="1"/>
  <c r="L1257" i="1"/>
  <c r="M1257" i="1"/>
  <c r="N1257" i="1"/>
  <c r="B1258" i="1"/>
  <c r="K1258" i="1"/>
  <c r="L1258" i="1"/>
  <c r="M1258" i="1"/>
  <c r="N1258" i="1"/>
  <c r="B1259" i="1"/>
  <c r="K1259" i="1"/>
  <c r="L1259" i="1"/>
  <c r="M1259" i="1"/>
  <c r="N1259" i="1"/>
  <c r="B1260" i="1"/>
  <c r="K1260" i="1"/>
  <c r="L1260" i="1"/>
  <c r="M1260" i="1"/>
  <c r="N1260" i="1"/>
  <c r="B1261" i="1"/>
  <c r="K1261" i="1"/>
  <c r="L1261" i="1"/>
  <c r="M1261" i="1"/>
  <c r="N1261" i="1"/>
  <c r="B1262" i="1"/>
  <c r="K1262" i="1"/>
  <c r="L1262" i="1"/>
  <c r="M1262" i="1"/>
  <c r="N1262" i="1"/>
  <c r="B1263" i="1"/>
  <c r="K1263" i="1"/>
  <c r="L1263" i="1"/>
  <c r="M1263" i="1"/>
  <c r="N1263" i="1"/>
  <c r="B1264" i="1"/>
  <c r="K1264" i="1"/>
  <c r="L1264" i="1"/>
  <c r="M1264" i="1"/>
  <c r="N1264" i="1"/>
  <c r="B1265" i="1"/>
  <c r="K1265" i="1"/>
  <c r="L1265" i="1"/>
  <c r="M1265" i="1"/>
  <c r="N1265" i="1"/>
  <c r="B1266" i="1"/>
  <c r="K1266" i="1"/>
  <c r="L1266" i="1"/>
  <c r="M1266" i="1"/>
  <c r="N1266" i="1"/>
  <c r="B1267" i="1"/>
  <c r="K1267" i="1"/>
  <c r="L1267" i="1"/>
  <c r="M1267" i="1"/>
  <c r="N1267" i="1"/>
  <c r="B1268" i="1"/>
  <c r="K1268" i="1"/>
  <c r="L1268" i="1"/>
  <c r="M1268" i="1"/>
  <c r="N1268" i="1"/>
  <c r="B1269" i="1"/>
  <c r="K1269" i="1"/>
  <c r="L1269" i="1"/>
  <c r="M1269" i="1"/>
  <c r="N1269" i="1"/>
  <c r="B1270" i="1"/>
  <c r="K1270" i="1"/>
  <c r="L1270" i="1"/>
  <c r="M1270" i="1"/>
  <c r="N1270" i="1"/>
  <c r="B1271" i="1"/>
  <c r="K1271" i="1"/>
  <c r="L1271" i="1"/>
  <c r="M1271" i="1"/>
  <c r="N1271" i="1"/>
  <c r="B1272" i="1"/>
  <c r="K1272" i="1"/>
  <c r="L1272" i="1"/>
  <c r="M1272" i="1"/>
  <c r="N1272" i="1"/>
  <c r="B1273" i="1"/>
  <c r="K1273" i="1"/>
  <c r="L1273" i="1"/>
  <c r="M1273" i="1"/>
  <c r="N1273" i="1"/>
  <c r="B1274" i="1"/>
  <c r="K1274" i="1"/>
  <c r="L1274" i="1"/>
  <c r="M1274" i="1"/>
  <c r="N1274" i="1"/>
  <c r="B1275" i="1"/>
  <c r="K1275" i="1"/>
  <c r="L1275" i="1"/>
  <c r="M1275" i="1"/>
  <c r="N1275" i="1"/>
  <c r="B1276" i="1"/>
  <c r="K1276" i="1"/>
  <c r="L1276" i="1"/>
  <c r="M1276" i="1"/>
  <c r="N1276" i="1"/>
  <c r="B1277" i="1"/>
  <c r="K1277" i="1"/>
  <c r="L1277" i="1"/>
  <c r="M1277" i="1"/>
  <c r="N1277" i="1"/>
  <c r="B1278" i="1"/>
  <c r="K1278" i="1"/>
  <c r="L1278" i="1"/>
  <c r="M1278" i="1"/>
  <c r="N1278" i="1"/>
  <c r="B1279" i="1"/>
  <c r="K1279" i="1"/>
  <c r="L1279" i="1"/>
  <c r="M1279" i="1"/>
  <c r="N1279" i="1"/>
  <c r="B1280" i="1"/>
  <c r="K1280" i="1"/>
  <c r="L1280" i="1"/>
  <c r="M1280" i="1"/>
  <c r="N1280" i="1"/>
  <c r="B1281" i="1"/>
  <c r="K1281" i="1"/>
  <c r="L1281" i="1"/>
  <c r="M1281" i="1"/>
  <c r="N1281" i="1"/>
  <c r="B1282" i="1"/>
  <c r="K1282" i="1"/>
  <c r="L1282" i="1"/>
  <c r="M1282" i="1"/>
  <c r="N1282" i="1"/>
  <c r="B1283" i="1"/>
  <c r="K1283" i="1"/>
  <c r="L1283" i="1"/>
  <c r="M1283" i="1"/>
  <c r="N1283" i="1"/>
  <c r="B1284" i="1"/>
  <c r="K1284" i="1"/>
  <c r="L1284" i="1"/>
  <c r="M1284" i="1"/>
  <c r="N1284" i="1"/>
  <c r="B1285" i="1"/>
  <c r="K1285" i="1"/>
  <c r="L1285" i="1"/>
  <c r="M1285" i="1"/>
  <c r="N1285" i="1"/>
  <c r="B1286" i="1"/>
  <c r="K1286" i="1"/>
  <c r="L1286" i="1"/>
  <c r="M1286" i="1"/>
  <c r="N1286" i="1"/>
  <c r="B1287" i="1"/>
  <c r="K1287" i="1"/>
  <c r="L1287" i="1"/>
  <c r="M1287" i="1"/>
  <c r="N1287" i="1"/>
  <c r="B1288" i="1"/>
  <c r="K1288" i="1"/>
  <c r="L1288" i="1"/>
  <c r="M1288" i="1"/>
  <c r="N1288" i="1"/>
  <c r="B1289" i="1"/>
  <c r="K1289" i="1"/>
  <c r="L1289" i="1"/>
  <c r="M1289" i="1"/>
  <c r="N1289" i="1"/>
  <c r="B1290" i="1"/>
  <c r="K1290" i="1"/>
  <c r="L1290" i="1"/>
  <c r="M1290" i="1"/>
  <c r="N1290" i="1"/>
  <c r="B1291" i="1"/>
  <c r="K1291" i="1"/>
  <c r="L1291" i="1"/>
  <c r="M1291" i="1"/>
  <c r="N1291" i="1"/>
  <c r="B1292" i="1"/>
  <c r="K1292" i="1"/>
  <c r="L1292" i="1"/>
  <c r="M1292" i="1"/>
  <c r="N1292" i="1"/>
  <c r="B1293" i="1"/>
  <c r="K1293" i="1"/>
  <c r="L1293" i="1"/>
  <c r="M1293" i="1"/>
  <c r="N1293" i="1"/>
  <c r="B1294" i="1"/>
  <c r="K1294" i="1"/>
  <c r="L1294" i="1"/>
  <c r="M1294" i="1"/>
  <c r="N1294" i="1"/>
  <c r="B1295" i="1"/>
  <c r="K1295" i="1"/>
  <c r="L1295" i="1"/>
  <c r="M1295" i="1"/>
  <c r="N1295" i="1"/>
  <c r="B1296" i="1"/>
  <c r="K1296" i="1"/>
  <c r="L1296" i="1"/>
  <c r="M1296" i="1"/>
  <c r="N1296" i="1"/>
  <c r="B1297" i="1"/>
  <c r="K1297" i="1"/>
  <c r="L1297" i="1"/>
  <c r="M1297" i="1"/>
  <c r="N1297" i="1"/>
  <c r="B1298" i="1"/>
  <c r="K1298" i="1"/>
  <c r="L1298" i="1"/>
  <c r="M1298" i="1"/>
  <c r="N1298" i="1"/>
  <c r="B1299" i="1"/>
  <c r="K1299" i="1"/>
  <c r="L1299" i="1"/>
  <c r="M1299" i="1"/>
  <c r="N1299" i="1"/>
  <c r="B1300" i="1"/>
  <c r="K1300" i="1"/>
  <c r="L1300" i="1"/>
  <c r="M1300" i="1"/>
  <c r="N1300" i="1"/>
  <c r="B1301" i="1"/>
  <c r="K1301" i="1"/>
  <c r="L1301" i="1"/>
  <c r="M1301" i="1"/>
  <c r="N1301" i="1"/>
  <c r="B1302" i="1"/>
  <c r="K1302" i="1"/>
  <c r="L1302" i="1"/>
  <c r="M1302" i="1"/>
  <c r="N1302" i="1"/>
  <c r="B1303" i="1"/>
  <c r="K1303" i="1"/>
  <c r="L1303" i="1"/>
  <c r="M1303" i="1"/>
  <c r="N1303" i="1"/>
  <c r="B1304" i="1"/>
  <c r="K1304" i="1"/>
  <c r="L1304" i="1"/>
  <c r="M1304" i="1"/>
  <c r="N1304" i="1"/>
  <c r="B1305" i="1"/>
  <c r="K1305" i="1"/>
  <c r="L1305" i="1"/>
  <c r="M1305" i="1"/>
  <c r="N1305" i="1"/>
  <c r="B1306" i="1"/>
  <c r="K1306" i="1"/>
  <c r="L1306" i="1"/>
  <c r="M1306" i="1"/>
  <c r="N1306" i="1"/>
  <c r="B1307" i="1"/>
  <c r="K1307" i="1"/>
  <c r="L1307" i="1"/>
  <c r="M1307" i="1"/>
  <c r="N1307" i="1"/>
  <c r="B1308" i="1"/>
  <c r="K1308" i="1"/>
  <c r="L1308" i="1"/>
  <c r="M1308" i="1"/>
  <c r="N1308" i="1"/>
  <c r="B1309" i="1"/>
  <c r="K1309" i="1"/>
  <c r="L1309" i="1"/>
  <c r="M1309" i="1"/>
  <c r="N1309" i="1"/>
  <c r="B1310" i="1"/>
  <c r="K1310" i="1"/>
  <c r="L1310" i="1"/>
  <c r="M1310" i="1"/>
  <c r="N1310" i="1"/>
  <c r="B1311" i="1"/>
  <c r="K1311" i="1"/>
  <c r="L1311" i="1"/>
  <c r="M1311" i="1"/>
  <c r="N1311" i="1"/>
  <c r="B1312" i="1"/>
  <c r="K1312" i="1"/>
  <c r="L1312" i="1"/>
  <c r="M1312" i="1"/>
  <c r="N1312" i="1"/>
  <c r="B1313" i="1"/>
  <c r="K1313" i="1"/>
  <c r="L1313" i="1"/>
  <c r="M1313" i="1"/>
  <c r="N1313" i="1"/>
  <c r="B1314" i="1"/>
  <c r="K1314" i="1"/>
  <c r="L1314" i="1"/>
  <c r="M1314" i="1"/>
  <c r="N1314" i="1"/>
  <c r="B1315" i="1"/>
  <c r="K1315" i="1"/>
  <c r="L1315" i="1"/>
  <c r="M1315" i="1"/>
  <c r="N1315" i="1"/>
  <c r="B1316" i="1"/>
  <c r="K1316" i="1"/>
  <c r="L1316" i="1"/>
  <c r="M1316" i="1"/>
  <c r="N1316" i="1"/>
  <c r="B1317" i="1"/>
  <c r="K1317" i="1"/>
  <c r="L1317" i="1"/>
  <c r="M1317" i="1"/>
  <c r="N1317" i="1"/>
  <c r="B1318" i="1"/>
  <c r="K1318" i="1"/>
  <c r="L1318" i="1"/>
  <c r="M1318" i="1"/>
  <c r="N1318" i="1"/>
  <c r="B1319" i="1"/>
  <c r="K1319" i="1"/>
  <c r="L1319" i="1"/>
  <c r="M1319" i="1"/>
  <c r="N1319" i="1"/>
  <c r="B1320" i="1"/>
  <c r="K1320" i="1"/>
  <c r="L1320" i="1"/>
  <c r="M1320" i="1"/>
  <c r="N1320" i="1"/>
  <c r="B1321" i="1"/>
  <c r="K1321" i="1"/>
  <c r="L1321" i="1"/>
  <c r="M1321" i="1"/>
  <c r="N1321" i="1"/>
  <c r="B1322" i="1"/>
  <c r="K1322" i="1"/>
  <c r="L1322" i="1"/>
  <c r="M1322" i="1"/>
  <c r="N1322" i="1"/>
  <c r="B1323" i="1"/>
  <c r="K1323" i="1"/>
  <c r="L1323" i="1"/>
  <c r="M1323" i="1"/>
  <c r="N1323" i="1"/>
  <c r="B1324" i="1"/>
  <c r="K1324" i="1"/>
  <c r="L1324" i="1"/>
  <c r="M1324" i="1"/>
  <c r="N1324" i="1"/>
  <c r="B1325" i="1"/>
  <c r="K1325" i="1"/>
  <c r="L1325" i="1"/>
  <c r="M1325" i="1"/>
  <c r="N1325" i="1"/>
  <c r="B1326" i="1"/>
  <c r="K1326" i="1"/>
  <c r="L1326" i="1"/>
  <c r="M1326" i="1"/>
  <c r="N1326" i="1"/>
  <c r="B1327" i="1"/>
  <c r="K1327" i="1"/>
  <c r="L1327" i="1"/>
  <c r="M1327" i="1"/>
  <c r="N1327" i="1"/>
  <c r="B1328" i="1"/>
  <c r="K1328" i="1"/>
  <c r="L1328" i="1"/>
  <c r="M1328" i="1"/>
  <c r="N1328" i="1"/>
  <c r="B1329" i="1"/>
  <c r="K1329" i="1"/>
  <c r="L1329" i="1"/>
  <c r="M1329" i="1"/>
  <c r="N1329" i="1"/>
  <c r="B1330" i="1"/>
  <c r="K1330" i="1"/>
  <c r="L1330" i="1"/>
  <c r="M1330" i="1"/>
  <c r="N1330" i="1"/>
  <c r="B1331" i="1"/>
  <c r="K1331" i="1"/>
  <c r="L1331" i="1"/>
  <c r="M1331" i="1"/>
  <c r="N1331" i="1"/>
  <c r="B1332" i="1"/>
  <c r="K1332" i="1"/>
  <c r="L1332" i="1"/>
  <c r="M1332" i="1"/>
  <c r="N1332" i="1"/>
  <c r="B1333" i="1"/>
  <c r="K1333" i="1"/>
  <c r="L1333" i="1"/>
  <c r="M1333" i="1"/>
  <c r="N1333" i="1"/>
</calcChain>
</file>

<file path=xl/sharedStrings.xml><?xml version="1.0" encoding="utf-8"?>
<sst xmlns="http://schemas.openxmlformats.org/spreadsheetml/2006/main" count="13235" uniqueCount="4215">
  <si>
    <t>Numer RSPO</t>
  </si>
  <si>
    <t>REGON</t>
  </si>
  <si>
    <t>Typ</t>
  </si>
  <si>
    <t>Nazwa</t>
  </si>
  <si>
    <t>Województwo</t>
  </si>
  <si>
    <t>Powiat</t>
  </si>
  <si>
    <t>Gmina</t>
  </si>
  <si>
    <t>Miejscowość</t>
  </si>
  <si>
    <t>Rodzaj miejscowości</t>
  </si>
  <si>
    <t>Ulica</t>
  </si>
  <si>
    <t>Numer budynku</t>
  </si>
  <si>
    <t>Numer lokalu</t>
  </si>
  <si>
    <t>Kod pocztowy</t>
  </si>
  <si>
    <t>Telefon</t>
  </si>
  <si>
    <t>E-mail</t>
  </si>
  <si>
    <t>Publiczność status</t>
  </si>
  <si>
    <t>Poradnia psychologiczno-pedagogiczna</t>
  </si>
  <si>
    <t>"AD VERBUM" CENTRUM TERAPII MOWY I DYSLEKSJI</t>
  </si>
  <si>
    <t>MAZOWIECKIE</t>
  </si>
  <si>
    <t>Warszawa</t>
  </si>
  <si>
    <t>Ursynów</t>
  </si>
  <si>
    <t>dzielnica m.st. Warszawy</t>
  </si>
  <si>
    <t>ul. rtm. Witolda Pileckiego</t>
  </si>
  <si>
    <t>adverbum@adverbum.net.pl</t>
  </si>
  <si>
    <t>niepubliczna</t>
  </si>
  <si>
    <t>Poradnia specjalistyczna</t>
  </si>
  <si>
    <t>"GENIUS LOCI" NIEPUBLICZNA SPECJALISTYCZNA PORADNIA PSYCHOLOGICZNO-PEDAGOGICZNA</t>
  </si>
  <si>
    <t>MAŁOPOLSKIE</t>
  </si>
  <si>
    <t>chrzanowski</t>
  </si>
  <si>
    <t>Chrzanów</t>
  </si>
  <si>
    <t>miasto</t>
  </si>
  <si>
    <t>ul. ks. J. Skorupki</t>
  </si>
  <si>
    <t>centrum@drsmolka.pl</t>
  </si>
  <si>
    <t>"JESTEM I JA" NIEPUBLICZNA PORADNIA PSYCHOLOGICZNO - PEDAGOGICZNA Z OŚRODKIEM ORIENTACJI ZAWODOWEJ "AKADEMOS"</t>
  </si>
  <si>
    <t>ZACHODNIOPOMORSKIE</t>
  </si>
  <si>
    <t>Szczecin</t>
  </si>
  <si>
    <t>ul. Łabędzia</t>
  </si>
  <si>
    <t>sekretariat@jestemija.pl</t>
  </si>
  <si>
    <t>"NEUROSTYK"</t>
  </si>
  <si>
    <t>ŁÓDZKIE</t>
  </si>
  <si>
    <t>Łódź</t>
  </si>
  <si>
    <t>Łódź-Bałuty</t>
  </si>
  <si>
    <t>delegatura</t>
  </si>
  <si>
    <t>ul. Wrocławska</t>
  </si>
  <si>
    <t>neurostyk@gmail.com</t>
  </si>
  <si>
    <t>"OLOGOS" CENTRUM DIAGNOZY, TERAPII I WSPOMAGANIA ROZWOJU</t>
  </si>
  <si>
    <t>ul. dr. Władysława Biegańskiego</t>
  </si>
  <si>
    <t>olobry@poczta.onet.pl</t>
  </si>
  <si>
    <t>Łódź-Widzew</t>
  </si>
  <si>
    <t>"PAKA" NIEPUBLICZNA PORADNIA PSYCHOLOGICZNO - PEDAGOGICZNA W ZDUŃSKIEJ WOLI</t>
  </si>
  <si>
    <t>zduńskowolski</t>
  </si>
  <si>
    <t>Zduńska Wola</t>
  </si>
  <si>
    <t>ul. Szadkowska</t>
  </si>
  <si>
    <t>karolinakowalska1605@gmail.com</t>
  </si>
  <si>
    <t>"PROGRES" - NIEPUBLICZNA PORADNIA PSYCHOLOGICZNO-PEDAGOGICZNA</t>
  </si>
  <si>
    <t>łódzki wschodni</t>
  </si>
  <si>
    <t>Koluszki</t>
  </si>
  <si>
    <t>ul. 11 Listopada</t>
  </si>
  <si>
    <t>sekretariat@progres.atm.pl</t>
  </si>
  <si>
    <t>"PROMYK" NIEPUBLICZNA SPECJALISTYCZNA PORADNIA PSYCHOLOGICZNO-PEDAGOGICZNA W CHRZANOWIE</t>
  </si>
  <si>
    <t>ul. Świętokrzyska</t>
  </si>
  <si>
    <t>biuro@terapiapromyk.pl</t>
  </si>
  <si>
    <t>Trzebinia</t>
  </si>
  <si>
    <t>"SENSORYCZNY MOST" NIEPUBLICZNA PORADNIA PSYCHOLOGICZNO-PEDAGOGICZNA</t>
  </si>
  <si>
    <t>DOLNOŚLĄSKIE</t>
  </si>
  <si>
    <t>wrocławski</t>
  </si>
  <si>
    <t>Kobierzyce</t>
  </si>
  <si>
    <t>Ślęza</t>
  </si>
  <si>
    <t>wieś</t>
  </si>
  <si>
    <t>ul. Pszenna</t>
  </si>
  <si>
    <t>joagol100@wp.pl</t>
  </si>
  <si>
    <t>oławski</t>
  </si>
  <si>
    <t>Jelcz-Laskowice</t>
  </si>
  <si>
    <t>AKADEMICKA NIEPUBLICZNA PORADNIA PSYCHOLOGICZNO-PEDAGOGICZNA W OSTROWCU ŚWIĘTOKRZYSKIM</t>
  </si>
  <si>
    <t>ŚWIĘTOKRZYSKIE</t>
  </si>
  <si>
    <t>ostrowiecki</t>
  </si>
  <si>
    <t>Ostrowiec Świętokrzyski</t>
  </si>
  <si>
    <t>ul. Akademicka</t>
  </si>
  <si>
    <t>akademicka.poradnia.ostrowiec@gmail.com</t>
  </si>
  <si>
    <t>AKADEMICKA PORADNIA PSYCHOLOGICZNO - PEDAGOGICZNA W SŁUPSKU</t>
  </si>
  <si>
    <t>POMORSKIE</t>
  </si>
  <si>
    <t>Słupsk</t>
  </si>
  <si>
    <t>ul. Juliana Tuwima</t>
  </si>
  <si>
    <t>musznickib@gmail.com</t>
  </si>
  <si>
    <t>AKADEMICKA PORADNIA PSYCHOLOGICZNO-PEDAGOGICZNA W OSTROŁĘCE</t>
  </si>
  <si>
    <t>Ostrołęka</t>
  </si>
  <si>
    <t>ul. Aleja Wojska Polskiego</t>
  </si>
  <si>
    <t>appp.sekretariat@onet.pl</t>
  </si>
  <si>
    <t>ARKA ANDRZEJ TRACZYK NIEPUBLICZNA PORADNIA PSYCHOLOGICZNO-PEDAGOGICZNA</t>
  </si>
  <si>
    <t>Ursus</t>
  </si>
  <si>
    <t>ul. Karola Adamieckiego</t>
  </si>
  <si>
    <t>arka@poradniaarka.pl</t>
  </si>
  <si>
    <t>ASYSTA PORADNIA PSYCHOLOGICZNO-PEDAGOGICZNA KATARZYNA OSAK</t>
  </si>
  <si>
    <t>Bielany</t>
  </si>
  <si>
    <t>ul. Zbigniewa Romaszewskiego</t>
  </si>
  <si>
    <t>poradnia@asysta.org</t>
  </si>
  <si>
    <t>CENTRUM DIAGNOSTYKI I TERAPII PSYCHOLOGICZNO-PEDAGOGICZNEJ DLA DZIECI I MŁODZIEŻY "TERAPIA" NIEPUBLICZNA PORADNIA PSYCHOLOGICZNO-PEDAGOGICZNA W BIAŁYMSTOKU</t>
  </si>
  <si>
    <t>PODLASKIE</t>
  </si>
  <si>
    <t>Białystok</t>
  </si>
  <si>
    <t>ul. Jana III Sobieskiego</t>
  </si>
  <si>
    <t>CENTRUM DIAGNOZY I TERAPII KRAINA DLA CIEBIE</t>
  </si>
  <si>
    <t>PODKARPACKIE</t>
  </si>
  <si>
    <t>Rzeszów</t>
  </si>
  <si>
    <t>ul. Ułanów</t>
  </si>
  <si>
    <t>poradnia.ku@o2.pl</t>
  </si>
  <si>
    <t>CENTRUM DIAGNOZY, TERAPII I ROZWOJU DLA DZIECI, MŁODZIEŻY I DOROSŁYCH, NIEPUBLICZNA PORADNIA PSYCHOLOGICZNO-PEDAGOGICZNA IZYSS</t>
  </si>
  <si>
    <t>piaseczyński</t>
  </si>
  <si>
    <t>Piaseczno</t>
  </si>
  <si>
    <t>Józefosław</t>
  </si>
  <si>
    <t>ul. Pachnącego Groszku</t>
  </si>
  <si>
    <t>poradnia@izyss.pl</t>
  </si>
  <si>
    <t>CENTRUM EDUKACYJNO-TERAPEUTYCZNE 8 ELEMENT NIEPUBLICZNA PORADNIA PSYCHOLOGICZNO-PEDAGOGICZNA W LUBLINIE</t>
  </si>
  <si>
    <t>LUBELSKIE</t>
  </si>
  <si>
    <t>Lublin</t>
  </si>
  <si>
    <t>ul. Szmaragdowa</t>
  </si>
  <si>
    <t>8elementt@8elementt.pl</t>
  </si>
  <si>
    <t>CENTRUM INFORMACJI ZAWODOWEJ - SPAECJALISTYCZNA PORADNIA PSYCHOLOGICZNO-PEDAGOGICZNA</t>
  </si>
  <si>
    <t>ŚLĄSKIE</t>
  </si>
  <si>
    <t>Częstochowa</t>
  </si>
  <si>
    <t>ul. Marysia</t>
  </si>
  <si>
    <t>zppp@edukacja.czestochowa.pl</t>
  </si>
  <si>
    <t>publiczna</t>
  </si>
  <si>
    <t>CENTRUM MAŁEGO DZIECKA NIEPUBLICZNA PORADNIA PSYCHOLOGICZNO-PEDAGOGICZNA</t>
  </si>
  <si>
    <t>Kraków</t>
  </si>
  <si>
    <t>Kraków-Podgórze</t>
  </si>
  <si>
    <t>ul. Zygmunta Miłkowskiego</t>
  </si>
  <si>
    <t>cmdnppp@gmail.com</t>
  </si>
  <si>
    <t>CENTRUM PEDAGOGICZNO - PSYCHOLOGICZNE FUTURUM</t>
  </si>
  <si>
    <t>ul. św. Antoniego Padewskiego</t>
  </si>
  <si>
    <t>karina@centrum-futurum.pl</t>
  </si>
  <si>
    <t>CENTRUM PSYCHOEDUKACJI I POMOCY PSYCHOLOGICZNEJ</t>
  </si>
  <si>
    <t>ul. Okopowa</t>
  </si>
  <si>
    <t>info.cppip@gmail.com</t>
  </si>
  <si>
    <t>CENTRUM PSYCHOLOGICZNO-PASTORALNE METANOIA</t>
  </si>
  <si>
    <t>Płock</t>
  </si>
  <si>
    <t>al. Al. Floriana Kobylińskiego</t>
  </si>
  <si>
    <t>metanoia@op.pl</t>
  </si>
  <si>
    <t>CENTRUM PSYCHOLOGICZNO-PEDAGOGICZNE</t>
  </si>
  <si>
    <t>ul. Adama Mickiewicza</t>
  </si>
  <si>
    <t>cpp@miasto.szczecin.pl</t>
  </si>
  <si>
    <t>CENTRUM PSYCHOLOGICZNO-PEDAGOGICZNE SYNERGIA PLUS - NIEPUBLICZNA PORADNIA PSYCHOLOGICZNO-PEDAGOGICZNA W KRAKOWIE</t>
  </si>
  <si>
    <t>Kraków-Krowodrza</t>
  </si>
  <si>
    <t>ul. Bronowicka</t>
  </si>
  <si>
    <t>biuro@synergia2021.org</t>
  </si>
  <si>
    <t>CENTRUM PSYCHOLOGICZNO-PEDAGOGICZNE TRAMPOLINA</t>
  </si>
  <si>
    <t>wejherowski</t>
  </si>
  <si>
    <t>Wejherowo</t>
  </si>
  <si>
    <t>centrum-trampolina@wp.pl</t>
  </si>
  <si>
    <t>CENTRUM ROZWOJU I TERAPII DZIECKA I RODZINY</t>
  </si>
  <si>
    <t>Białołęka</t>
  </si>
  <si>
    <t>ul. Głębocka</t>
  </si>
  <si>
    <t>m.zdanowicz@dzieckowterapii.pl</t>
  </si>
  <si>
    <t>CENTRUM RUCHU I INTEGRACJI SENSORYCZNEJ</t>
  </si>
  <si>
    <t>ul. Meander</t>
  </si>
  <si>
    <t>info@centrum-ruchu.pl</t>
  </si>
  <si>
    <t>Ochota</t>
  </si>
  <si>
    <t>CENTRUM STYMULACJI ROZWOJU DZIECKA "UCZENIE PRZEZ ZMYSŁY" IWONA PALICKA NIEPUBLICZNA SPECJALISTYCZNA PORADNIA PSYCHOLOGICZNO-PEDAGOGICZNA</t>
  </si>
  <si>
    <t>WIELKOPOLSKIE</t>
  </si>
  <si>
    <t>Poznań</t>
  </si>
  <si>
    <t>Poznań-Jeżyce</t>
  </si>
  <si>
    <t>ul. Oliwska</t>
  </si>
  <si>
    <t>gpcentrumdziecka@gmail.com</t>
  </si>
  <si>
    <t>poznański</t>
  </si>
  <si>
    <t>CENTRUM TERAPEUTYCZNE "BOSKO" NIEPUBLICZNA PORADNIA PSYCHOLOGICZNO-PEDAGOGICZNA</t>
  </si>
  <si>
    <t>bielski</t>
  </si>
  <si>
    <t>Czechowice-Dziedzice</t>
  </si>
  <si>
    <t>ul. Jana Kasprowicza</t>
  </si>
  <si>
    <t>lucynahoma@gmail.com</t>
  </si>
  <si>
    <t>Bielsko-Biała</t>
  </si>
  <si>
    <t>CENTRUM TERAPII "JESTEŚMY RAZEM" NIEPUBLICZNA PORADNIA PSYCHOLOGICZNO - PEDAGOGICZNA W SUWAŁKACH</t>
  </si>
  <si>
    <t>Suwałki</t>
  </si>
  <si>
    <t>ul. Karola Brzostowskiego</t>
  </si>
  <si>
    <t>www.poradnia-jestesmyrazem@wp.pl</t>
  </si>
  <si>
    <t>CENTRUM TERAPII "MAŁY KSIĄŻĘ" NIEPUBLICZNA PORADNIA PSYCHOLOGICZNO-PEDAGOGICZNA</t>
  </si>
  <si>
    <t>ul. Władysława Sikorskiego</t>
  </si>
  <si>
    <t>monikalorek@gmail.com</t>
  </si>
  <si>
    <t>CENTRUM TERAPII I ROZWOJU</t>
  </si>
  <si>
    <t>cieszyński</t>
  </si>
  <si>
    <t>Skoczów</t>
  </si>
  <si>
    <t>ul. Cieszyńska</t>
  </si>
  <si>
    <t>CENTRUM TERAPII SENSUO NIEPUBLICZNA PORADNIA PSYCHOLOGICZNO-PEDAGOGICZNA W INOWROCŁAWIU</t>
  </si>
  <si>
    <t>KUJAWSKO-POMORSKIE</t>
  </si>
  <si>
    <t>inowrocławski</t>
  </si>
  <si>
    <t>Inowrocław</t>
  </si>
  <si>
    <t>al. Okrężna</t>
  </si>
  <si>
    <t>fundacja@sensuo.org</t>
  </si>
  <si>
    <t>CENTRUM WCZESNEGO WSPOMAGANIA ROZWOJU DZIECI "DOBRY KROK" - NIEPUBLICZNA PORADNIA PSYCHOLOGICZNO - PEDAGOGICZNA W TARNOWIE</t>
  </si>
  <si>
    <t>Tarnów</t>
  </si>
  <si>
    <t>ul. Tadeusza Kościuszki</t>
  </si>
  <si>
    <t>1dobrykrok@gmail.com</t>
  </si>
  <si>
    <t>nowosądecki</t>
  </si>
  <si>
    <t>CENTRUM WCZESNEGO WSPOMAGANIA ROZWOJU NIEPUBLICZNA PORADNIA PSYCHOLOGICZNO-PEDAGOGICZNA</t>
  </si>
  <si>
    <t>Sobótka</t>
  </si>
  <si>
    <t>ul. Krótka</t>
  </si>
  <si>
    <t>biuro.majkka@gmail.com</t>
  </si>
  <si>
    <t>CENTRUM WSPIERANIA ROZWOJU - NIEPUBLICZNA PORADNIA PSYCHOLOGICZNO-PEDAGOGICZNA</t>
  </si>
  <si>
    <t>Nowy Sącz</t>
  </si>
  <si>
    <t>ul. Gabriela Narutowicza</t>
  </si>
  <si>
    <t>nowysacz@nppp.pl</t>
  </si>
  <si>
    <t>CENTRUM WSPIERANIA ROZWOJU "SENTIO" NIEPUBLICZNA PORADNIA PSYCHOLOGICZNO-PEDAGOGICZNA</t>
  </si>
  <si>
    <t>tarnowski</t>
  </si>
  <si>
    <t>Zakliczyn</t>
  </si>
  <si>
    <t>ul. Spokojna</t>
  </si>
  <si>
    <t>poradnia.sentio@gmail.com</t>
  </si>
  <si>
    <t>CENTRUM WSPIERANIA ROZWOJU NIEPUBLICZNA PORADNIA PSYCHOLOGICZNO - PEDAGOGICZNA</t>
  </si>
  <si>
    <t>ul. Rybna</t>
  </si>
  <si>
    <t>przedszkole@rybna7.pl</t>
  </si>
  <si>
    <t>CENTRUM WSPOMAGANIA ROZWOJU - NIEPUBLICZNA PORADNIA PSYCHOLOGICZNO-PEDAGOGICZNA W LUBINIE</t>
  </si>
  <si>
    <t>lubiński</t>
  </si>
  <si>
    <t>Lubin</t>
  </si>
  <si>
    <t>ul. Ścinawska</t>
  </si>
  <si>
    <t>u.ewa@interia.pl</t>
  </si>
  <si>
    <t>CENTRUM WSPOMAGANIA ROZWOJU DZIECI I RODZINY CREDO</t>
  </si>
  <si>
    <t>Gliwice</t>
  </si>
  <si>
    <t>ul. Pszczyńska</t>
  </si>
  <si>
    <t>lubiemowic@interia.pl</t>
  </si>
  <si>
    <t>Ruda Śląska</t>
  </si>
  <si>
    <t>CENTRUM WSPOMAGANIA ROZWOJU DZIECKA I DOROSŁYCH SPECJALISTYCZNA NIEPUBLICZNA PORADNIA PSYCHOLOGICZNO-PEDAGOGICZNA, PORADNIA LOGOPEDYCZNA</t>
  </si>
  <si>
    <t>stargardzki</t>
  </si>
  <si>
    <t>Stargard</t>
  </si>
  <si>
    <t>ul. Bolesława Limanowskiego</t>
  </si>
  <si>
    <t>CENTRUM WSPOMAGANIA ROZWOJU MOWY - DIALOG. EWA FIRS. SPECJALISTYCZNA NIEPUBLICZNA PORADNIA PSYCHOLOGICZNO - PEDAGOGICZNA</t>
  </si>
  <si>
    <t>sokólski</t>
  </si>
  <si>
    <t>Sokółka</t>
  </si>
  <si>
    <t>ul. Bohaterów Monte Cassino</t>
  </si>
  <si>
    <t>ewa.firs@gmail.com</t>
  </si>
  <si>
    <t>CENTRUM WSPOMAGANIA ROZWOJU NIEPUBLICZNA PORADNIA PSYCHOLOGICZNO-PEDAGOGICZNA</t>
  </si>
  <si>
    <t>dzierżoniowski</t>
  </si>
  <si>
    <t>Dzierżoniów</t>
  </si>
  <si>
    <t>ul. Szarych Szeregów</t>
  </si>
  <si>
    <t>poradnia.centrum@onet.pl</t>
  </si>
  <si>
    <t>Bielawa</t>
  </si>
  <si>
    <t>wałbrzyski</t>
  </si>
  <si>
    <t>Mieroszów</t>
  </si>
  <si>
    <t>ul. Nad Potokiem</t>
  </si>
  <si>
    <t>kciostek@op.pl</t>
  </si>
  <si>
    <t>ząbkowicki</t>
  </si>
  <si>
    <t>Ząbkowice Śląskie</t>
  </si>
  <si>
    <t>ul. 1 Maja</t>
  </si>
  <si>
    <t>CENTRUM ZDROWIA MEDI SENS DR JOANNA WICHLIŃSKA-PAKIRSKA</t>
  </si>
  <si>
    <t>LUBUSKIE</t>
  </si>
  <si>
    <t>gorzowski</t>
  </si>
  <si>
    <t>Kostrzyn nad Odrą</t>
  </si>
  <si>
    <t>ul. Zielona</t>
  </si>
  <si>
    <t>cbpipkostrzyn@gmail.com</t>
  </si>
  <si>
    <t>CENTRUM ZDROWIA SENSOMED WOJCIECH MODZELEWSKI</t>
  </si>
  <si>
    <t>ul. Nawrot</t>
  </si>
  <si>
    <t>kontakt@czdrowia.pl</t>
  </si>
  <si>
    <t>Łódź-Polesie</t>
  </si>
  <si>
    <t>DAW-MED M. KOWALSKA, M. KOWALSKI SP.J. NIEPUBLICZNA PORADNIA PSYCHOLOGICZNO-PEDAGOGICZNA W KRAŚNIKU</t>
  </si>
  <si>
    <t>kraśnicki</t>
  </si>
  <si>
    <t>Kraśnik</t>
  </si>
  <si>
    <t>ul. Aleja Tysiąclecia</t>
  </si>
  <si>
    <t>m.kowalska49@vp.pl</t>
  </si>
  <si>
    <t>EDUCATA NIEPUBLICZNA PORADNIA PSYCHOLOGICZNO-PEDAGOGICZNA WE WROCŁAWIU</t>
  </si>
  <si>
    <t>Wrocław</t>
  </si>
  <si>
    <t>Wrocław-Krzyki</t>
  </si>
  <si>
    <t>al. Wiśniowa</t>
  </si>
  <si>
    <t>educata@educata.pl</t>
  </si>
  <si>
    <t>EDUCO NIEPUBLICZNA PORADNIA PSYCHOLOGICZNI-PEDAGOGICZNA</t>
  </si>
  <si>
    <t>Tychy</t>
  </si>
  <si>
    <t>al. Marszałka Piłsudskiego</t>
  </si>
  <si>
    <t>irena.mic56@gmail.com</t>
  </si>
  <si>
    <t>EDUCO NIEPUBLICZNA PORADNIA PSYCHOLOGICZNO-PEDAGOGICZNA</t>
  </si>
  <si>
    <t>dziuba79@gazeta.pl</t>
  </si>
  <si>
    <t>EDUPOINT.PL - PORADNIA PSYCHOLOGICZNO-PEDAGOGICZNA</t>
  </si>
  <si>
    <t>ul. Światowida</t>
  </si>
  <si>
    <t>info@edupoint.pl</t>
  </si>
  <si>
    <t>FAMILIJNA PORADNIA PSYCHOLOGICZNO-PEDAGOGICZNA</t>
  </si>
  <si>
    <t>Wrocław-Śródmieście</t>
  </si>
  <si>
    <t>ul. Franklina Delano Roosevelta</t>
  </si>
  <si>
    <t>poradnia@fundacjaedukacja.pl</t>
  </si>
  <si>
    <t>FILIA PORADNI PSYCHOLOGICZNO-PEDAGOGICZNEJ NR 20</t>
  </si>
  <si>
    <t>Bemowo</t>
  </si>
  <si>
    <t>ul. gen. Tadeusza Pełczyńskiego</t>
  </si>
  <si>
    <t>sekretariat.ppp20@eduwarszawa.pl</t>
  </si>
  <si>
    <t>PORADNIA PSYCHOLOGICZNO-PEDAGOGICZNA NR 20</t>
  </si>
  <si>
    <t>FILIA PORADNI PSYCHOLOGICZNO-PEDAGOGICZNEJ NR 4 W KRAKOWIE</t>
  </si>
  <si>
    <t>Kraków-Nowa Huta</t>
  </si>
  <si>
    <t>os. Osiedle Złotego Wieku</t>
  </si>
  <si>
    <t>ppp-4@wp.pl</t>
  </si>
  <si>
    <t>Kraków-Śródmieście</t>
  </si>
  <si>
    <t>PORADNIA PSYCHOLOGICZNO-PEDAGOGICZNA NR 4 IM. JANUSZA KORCZAKA W KRAKOWIE</t>
  </si>
  <si>
    <t>FILIA PORADNI PSYCHOLOGICZNO-PEDAGOGICZNEJ W OLKUSZU Z SIEDZIBĄ W WOLBROMIU</t>
  </si>
  <si>
    <t>olkuski</t>
  </si>
  <si>
    <t>Wolbrom</t>
  </si>
  <si>
    <t>ul. Łukasińskiego</t>
  </si>
  <si>
    <t>filiawolbrom@pppolkusz.pl</t>
  </si>
  <si>
    <t>Olkusz</t>
  </si>
  <si>
    <t>PORADNIA PSYCHOLOGICZNO-PEDAGOGICZNA W OLKUSZU</t>
  </si>
  <si>
    <t>FILIA W BUKU</t>
  </si>
  <si>
    <t>Buk</t>
  </si>
  <si>
    <t>buk@ppplubon.pl</t>
  </si>
  <si>
    <t>PORADNIA PSYCHOLOGICZNO-PEDAGOGICZNA W LUBONIU</t>
  </si>
  <si>
    <t>FILIA W CZERWONAKU</t>
  </si>
  <si>
    <t>Czerwonak</t>
  </si>
  <si>
    <t>Koziegłowy</t>
  </si>
  <si>
    <t>ul. Poznańska</t>
  </si>
  <si>
    <t>sekretariat.czerwonak@pppswarzedz.pl</t>
  </si>
  <si>
    <t>PORADNIA PSYCHOLOGICZNO-PEDAGOGICZNA W SWARZĘDZU</t>
  </si>
  <si>
    <t>FILIA W DOBRZEJEWICACH PORADNI PSYCHOLOGICZNO-PEDAGOGICZNEJ W CHEŁMŻY</t>
  </si>
  <si>
    <t>toruński</t>
  </si>
  <si>
    <t>Obrowo</t>
  </si>
  <si>
    <t>Dobrzejewice</t>
  </si>
  <si>
    <t>porpsych@wp.pl</t>
  </si>
  <si>
    <t>Toruń</t>
  </si>
  <si>
    <t>PORADNIA PSYCHOLOGICZNO-PEDAGOGICZNA W CHEŁMŻY</t>
  </si>
  <si>
    <t>FILIA W KÓRNIKU</t>
  </si>
  <si>
    <t>Kórnik</t>
  </si>
  <si>
    <t>sekretariat.kornik@pppuszczykowo.pl</t>
  </si>
  <si>
    <t>PORADNIA PSYCHOLOGICZNO-PEDAGOGICZNA W PUSZCZYKOWIE</t>
  </si>
  <si>
    <t>FILIA W KOSTRZYNIE</t>
  </si>
  <si>
    <t>Kostrzyn</t>
  </si>
  <si>
    <t>ul. Braci Drzewieckich</t>
  </si>
  <si>
    <t>sekretariat.kostrzyn@pppswarzedz.pl</t>
  </si>
  <si>
    <t>FILIA W MUROWANEJ GOŚLINIE</t>
  </si>
  <si>
    <t>Murowana Goślina</t>
  </si>
  <si>
    <t>ul. Mściszewska</t>
  </si>
  <si>
    <t>sekretariat.murowanag@pppswarzedz.pl</t>
  </si>
  <si>
    <t>FILIA W POBIEDZISKACH</t>
  </si>
  <si>
    <t>Pobiedziska</t>
  </si>
  <si>
    <t>ul. Kazimierza Odnowiciela</t>
  </si>
  <si>
    <t>sekretariat.pobiedziska@pppswarzedz.pl</t>
  </si>
  <si>
    <t>FILIA W STĘSZEWIE</t>
  </si>
  <si>
    <t>Stęszew</t>
  </si>
  <si>
    <t>ul. Janusza Korczaka</t>
  </si>
  <si>
    <t>steszew@ppplubon.pl</t>
  </si>
  <si>
    <t>GABINET PSYCHOLOGICZNO-LOGOPEDYCZNY</t>
  </si>
  <si>
    <t>ul. Rycerska</t>
  </si>
  <si>
    <t>GABINETY TERAPEUTYCZNE "NEUROCENTRUM" NIEPUBLICZNA PORADNIA PSYCHOLOGICZNO-PEDAGOGICZNA</t>
  </si>
  <si>
    <t>bełchatowski</t>
  </si>
  <si>
    <t>Bełchatów</t>
  </si>
  <si>
    <t>ul. Lecha i Marii Kaczyńskich</t>
  </si>
  <si>
    <t>poradniateczowa@onet.pl</t>
  </si>
  <si>
    <t>Piotrków Trybunalski</t>
  </si>
  <si>
    <t>GABINETY TERAPEUTYCZNE "NEUROCENTRUM" NIEPUBLICZNA PORADNIA PSYCHOLOGICZNO-PEDAGOGICZNA W PIOTRKOWIE TRYBUNALSKIM</t>
  </si>
  <si>
    <t>ul. Rzemieślnicza</t>
  </si>
  <si>
    <t>neuro.centrum1@gmail.com</t>
  </si>
  <si>
    <t>GDAŃSKA PORADNIA PSYCHOLOGICZNO-PEDAGOGICZNA "LINGWISTA"</t>
  </si>
  <si>
    <t>Gdańsk</t>
  </si>
  <si>
    <t>ul. św. Barbary</t>
  </si>
  <si>
    <t>poradnia@oswiatalingwista.eu</t>
  </si>
  <si>
    <t>HERO!PORADNIA PSYCHOLOGICZNO-PEDAGOGICZNA</t>
  </si>
  <si>
    <t>Wilanów</t>
  </si>
  <si>
    <t>al. Aleja Rzeczypospolitej</t>
  </si>
  <si>
    <t>s.laskowska@hero.edu.pl</t>
  </si>
  <si>
    <t>HKF CENTRUM WSPIERANIA ROZWOJU DZIECKA</t>
  </si>
  <si>
    <t>ul. Wyścigowa</t>
  </si>
  <si>
    <t>kontakt@hkfcentrum.pl</t>
  </si>
  <si>
    <t>HOMOSUM OŚRODEK PSYCHOEDUKACJI - NIEPUBLICZNA PORADNIA PSYCHOLOGICZNO-PEDAGOGICZNA</t>
  </si>
  <si>
    <t>Rybnik</t>
  </si>
  <si>
    <t>ul. św. Antoniego</t>
  </si>
  <si>
    <t>biuro@homosum.pl</t>
  </si>
  <si>
    <t>HORYZONT NIEPUBLICZNA PORADNIA PSYCHOLOGICZNO-PEDAGOGICZNA</t>
  </si>
  <si>
    <t>ul. Łowiecka</t>
  </si>
  <si>
    <t>w_k_m@wp.pl</t>
  </si>
  <si>
    <t>Wrocław-Fabryczna</t>
  </si>
  <si>
    <t>I NIEPUBLICZNA PORADNIA PSYCHOLOGICZNO-PEDAGOGICZNA W KŁODZKU</t>
  </si>
  <si>
    <t>kłodzki</t>
  </si>
  <si>
    <t>Kłodzko</t>
  </si>
  <si>
    <t>ul. Stefana Okrzei</t>
  </si>
  <si>
    <t>oue@wp.pl</t>
  </si>
  <si>
    <t>I NIEPUBLICZNA SPECJALISTYCZNA PORADNIA PSYCHOLOGICZNO - PEDAGOGICZNA "BUDZIK" W SIEDLCACH</t>
  </si>
  <si>
    <t>Siedlce</t>
  </si>
  <si>
    <t>ul. Czerwonego Krzyża</t>
  </si>
  <si>
    <t>anna.jagiello90@gmail.com</t>
  </si>
  <si>
    <t>IDEA - NIEPUBLICZNA PORADNIA PSYCHOLOGICZNO-PEDAGIGICZNA W RZESZOWIE</t>
  </si>
  <si>
    <t>ul. Zygmuntowska</t>
  </si>
  <si>
    <t>nzoz.idea@gmail.com</t>
  </si>
  <si>
    <t>II NIEPUBLICZNA PORADNIA KONSULTACYJNO-SZKOLENIOWA TERAPII MOWY I ALTERNATYWNEJ KOMUNIKACJI JĘZYKOWEJ PIKTOGRAMY</t>
  </si>
  <si>
    <t>ul. Panieńska</t>
  </si>
  <si>
    <t>logoterapeuta.mp@gmail.com</t>
  </si>
  <si>
    <t>INSPIRACJA NIEPUBLICZNA PORADNIA PSYCHOLOGICZNO-PEDAGOGICZNA</t>
  </si>
  <si>
    <t>legionowski</t>
  </si>
  <si>
    <t>Nieporęt</t>
  </si>
  <si>
    <t>Stanisławów Pierwszy</t>
  </si>
  <si>
    <t>ul. Jodłowa</t>
  </si>
  <si>
    <t>recepcja@inspiracja-dzieci.pl</t>
  </si>
  <si>
    <t>INSTYTUT WSPOMAGANIA ROZWOJU DZIECKA NIEPUBLICZNA PORADNIA PSYCHOLOGICZNO - PEDAGOGICZNA</t>
  </si>
  <si>
    <t>ul. Jacka Malczewskiego</t>
  </si>
  <si>
    <t>poradnia@iwrd.pl</t>
  </si>
  <si>
    <t>INTENSI NIEPUBLICZNA PORADNIA PSYCHOLOGICZNO-PEDAGOGICZNA</t>
  </si>
  <si>
    <t>Katowice</t>
  </si>
  <si>
    <t>marta@poradnia-intensi.pl</t>
  </si>
  <si>
    <t>Mysłowice</t>
  </si>
  <si>
    <t>JUNIOREDU NIEPUBLICZNA PORADNIA PSYCHOLOGICZNO-PEDAGOGICZNA</t>
  </si>
  <si>
    <t>ul. Piaski</t>
  </si>
  <si>
    <t>koda@kodapr.com</t>
  </si>
  <si>
    <t>KATOLICKA SPECJALISTYCZNA PORADNIA RODZINA</t>
  </si>
  <si>
    <t>WARMIŃSKO-MAZURSKIE</t>
  </si>
  <si>
    <t>braniewski</t>
  </si>
  <si>
    <t>Braniewo</t>
  </si>
  <si>
    <t>ul. Królewiecka</t>
  </si>
  <si>
    <t>Śródmieście</t>
  </si>
  <si>
    <t>KID PORADNIA PSYCHOLOGICZNO-PEDAGOGICZNA</t>
  </si>
  <si>
    <t>Rumia</t>
  </si>
  <si>
    <t>ul. Marszałka Józefa Piłsudskiego</t>
  </si>
  <si>
    <t>kontakt@kidpsycholog.pl</t>
  </si>
  <si>
    <t>KORCZAKOWSKA NIEPUBLICZNA PORADNIA PSYCHOLOGICZNO-PEDAGOGICZNA W KATOWICACH</t>
  </si>
  <si>
    <t>ul. Katowicka</t>
  </si>
  <si>
    <t>kontakt@katowice-ksm.pl</t>
  </si>
  <si>
    <t>KUJAWSKIE CENTRUM POMOCY PSYCHOLOGICZNO-PEDAGOGICZNEJ W INOWROCŁAWIU</t>
  </si>
  <si>
    <t>ul. Dworcowa</t>
  </si>
  <si>
    <t>kujawskiecentrum@gmail.com</t>
  </si>
  <si>
    <t>LABORATORIUM PSYCHOEDUKACJI - INSTYTUT TRENINGU I PSYCHOTERAPII</t>
  </si>
  <si>
    <t>Praga-Południe</t>
  </si>
  <si>
    <t>lps@lps.pl</t>
  </si>
  <si>
    <t>LOBUS PRACOWNIA DIAGNOZY I TERPII DZIECKA, SPECJALISTYCZNA NIEPUBLICZNA PORADNIA PSYCHOLOGICZNO-PEDAGOGICZNA</t>
  </si>
  <si>
    <t>suski</t>
  </si>
  <si>
    <t>Sucha Beskidzka</t>
  </si>
  <si>
    <t>ul. Billy Wildera</t>
  </si>
  <si>
    <t>pracownialobus@gmail.com</t>
  </si>
  <si>
    <t>LOGOS NIEPUBLICZNA SPECJALISTYCZNA PORADNIA LOGOPEDYCZNO-PSYCHOLOGICZNA</t>
  </si>
  <si>
    <t>ul. Mazowiecka</t>
  </si>
  <si>
    <t>aliburska1@gmail.com</t>
  </si>
  <si>
    <t>MIEJSKA PORADNIA PSYCHOLOGICZNO - PEDAGOGICZNA</t>
  </si>
  <si>
    <t>OPOLSKIE</t>
  </si>
  <si>
    <t>Opole</t>
  </si>
  <si>
    <t>ul. Powstańców Śląskich</t>
  </si>
  <si>
    <t>sekretariat@mppp.opole.pl</t>
  </si>
  <si>
    <t>MIEJSKA PORADNIA PSYCHOLOGICZNO-PEDAGOGICZNA</t>
  </si>
  <si>
    <t>Koszalin</t>
  </si>
  <si>
    <t>ul. Morska</t>
  </si>
  <si>
    <t>mpp-p@mpp-p.com.pl</t>
  </si>
  <si>
    <t>MIEJSKA PORADNIA PSYCHOLOGICZNO-PEDAGOGICZNA W KONINIE</t>
  </si>
  <si>
    <t>Konin</t>
  </si>
  <si>
    <t>ul. Sosnowa</t>
  </si>
  <si>
    <t>m.poradniapp@wp.pl</t>
  </si>
  <si>
    <t>MIEJSKA PORADNIA PSYCHOLOGICZNO-PEDAGOGICZNA W KROŚNIE</t>
  </si>
  <si>
    <t>Krosno</t>
  </si>
  <si>
    <t>ul. Augusta Lewakowskiego</t>
  </si>
  <si>
    <t>poradnia@mpppkrosno.pl</t>
  </si>
  <si>
    <t>MIEJSKI ZESPÓŁ PORADNI PSYCHOLOGICZNO-PEDAGOGICZNYCH</t>
  </si>
  <si>
    <t>Kielce</t>
  </si>
  <si>
    <t>ul. Urzędnicza</t>
  </si>
  <si>
    <t>sekretariat@mzppp.kielce.eu</t>
  </si>
  <si>
    <t>MŁODZIEŻOWA PORADNIA KARIERY "START"</t>
  </si>
  <si>
    <t>Bydgoszcz</t>
  </si>
  <si>
    <t>ul. Fordońska</t>
  </si>
  <si>
    <t>start@poradniakariery.pl</t>
  </si>
  <si>
    <t>NIEP. SPECJALISTYCZNA PORADNIA PSYCHOLOGICZNO-PEDAGOGICZNA CENTRUM DIAGNOSTYKI I TERAPII "IN CORPORE"</t>
  </si>
  <si>
    <t>al. Aleja Pokoju</t>
  </si>
  <si>
    <t>info@centrumcorpore.pl</t>
  </si>
  <si>
    <t>NIEPUBLICZNA CHRZEŚCIJAŃSKA PORADNIA "DROGA"</t>
  </si>
  <si>
    <t>ul. Armii Krajowej</t>
  </si>
  <si>
    <t>poradnia@uczen.org.pl</t>
  </si>
  <si>
    <t>NIEPUBLICZNA KORCZAKOWSKA PORADNIA PSYCHOLOGICZNO-PEDAGOGICZNA W OLSZTYNIE</t>
  </si>
  <si>
    <t>Olsztyn</t>
  </si>
  <si>
    <t>al. Aleja Generała Władysława Sikorskiego</t>
  </si>
  <si>
    <t>olsztyn@poradniakorczaka.pl</t>
  </si>
  <si>
    <t>NIEPUBLICZNA PORADANIA PSYCHOLOGICZNO-PEDAGOGICZNA "SOWA"</t>
  </si>
  <si>
    <t>wołomiński</t>
  </si>
  <si>
    <t>Marki</t>
  </si>
  <si>
    <t>ul. Fabryczna</t>
  </si>
  <si>
    <t>alina.esculap@orange.pl</t>
  </si>
  <si>
    <t>NIEPUBLICZNA PORADNIA KONSULTACYJNO-SZKOLENIOWA TERAPII MOWY I ALTERNATYWNEJ KOMUNIKACJI JĘZYKOWEJ "PIKTOGRAMY"</t>
  </si>
  <si>
    <t>ul. Kuśnierska</t>
  </si>
  <si>
    <t>logoterapeuta@wp.pl</t>
  </si>
  <si>
    <t>NIEPUBLICZNA PORADNIA PEDAGOGICZNO-PSYCHOLOGICZNA INSTYTUT WSPIERANIA ROZWOJU DZIECKA WYŻSZEJ SZKOŁY GOSPODARKI W BYDGOSZCZY</t>
  </si>
  <si>
    <t>ul. Adama Naruszewicza</t>
  </si>
  <si>
    <t>poradnia@byd.pl</t>
  </si>
  <si>
    <t>NIEPUBLICZNA PORADNIA PSCHOLOGICZNO-PEDAGOGICZNA ,,ZABAWY ROZWOJOWE"</t>
  </si>
  <si>
    <t>pabianicki</t>
  </si>
  <si>
    <t>Pabianice</t>
  </si>
  <si>
    <t>ul. Stanisława Moniuszki</t>
  </si>
  <si>
    <t>kontakt@zabawyrozwojowe.pl</t>
  </si>
  <si>
    <t>łaski</t>
  </si>
  <si>
    <t>NIEPUBLICZNA PORADNIA PSYCHOLOGICZNA - PEDAGOGICZNA "LITERKOWO" W MSZANIE DOLNEJ</t>
  </si>
  <si>
    <t>limanowski</t>
  </si>
  <si>
    <t>Mszana Dolna</t>
  </si>
  <si>
    <t>ul. Józefa Marka</t>
  </si>
  <si>
    <t>monika.marc@op.pl</t>
  </si>
  <si>
    <t>NIEPUBLICZNA PORADNIA PSYCHOLOGICZNO - PEDAGOGICZNA</t>
  </si>
  <si>
    <t>Gorzów Wielkopolski</t>
  </si>
  <si>
    <t>ul. Franciszka Walczaka</t>
  </si>
  <si>
    <t>p.psychologicznopedagogiczna@gmail.com</t>
  </si>
  <si>
    <t>ostrowski</t>
  </si>
  <si>
    <t>Ostrów Wielkopolski</t>
  </si>
  <si>
    <t>ul. Partyzancka</t>
  </si>
  <si>
    <t>poradniaostrow@wp.pl</t>
  </si>
  <si>
    <t>wieruszowski</t>
  </si>
  <si>
    <t>Wieruszów</t>
  </si>
  <si>
    <t>pilski</t>
  </si>
  <si>
    <t>Piła</t>
  </si>
  <si>
    <t>ul. Zaułek</t>
  </si>
  <si>
    <t>poradnia.pila@wp.pl</t>
  </si>
  <si>
    <t>miński</t>
  </si>
  <si>
    <t>Sulejówek</t>
  </si>
  <si>
    <t>ul. Aleja Piłsudskiego</t>
  </si>
  <si>
    <t>poradnia@stowarzyszenie.edu.pl</t>
  </si>
  <si>
    <t>NIEPUBLICZNA PORADNIA PSYCHOLOGICZNO - PEDAGOGICZNA - MAGDALENA KOBYLARCZYK</t>
  </si>
  <si>
    <t>ul. Żytnia</t>
  </si>
  <si>
    <t>npp_p@onet.pl</t>
  </si>
  <si>
    <t>NIEPUBLICZNA PORADNIA PSYCHOLOGICZNO - PEDAGOGICZNA ,,ANIMA"</t>
  </si>
  <si>
    <t>tomaszowski</t>
  </si>
  <si>
    <t>Tomaszów Mazowiecki</t>
  </si>
  <si>
    <t>animaporadnia@gmail.com</t>
  </si>
  <si>
    <t>NIEPUBLICZNA PORADNIA PSYCHOLOGICZNO - PEDAGOGICZNA 'PERCEPCJA ZMYSŁÓW"</t>
  </si>
  <si>
    <t>kozienicki</t>
  </si>
  <si>
    <t>Kozienice</t>
  </si>
  <si>
    <t>ul. Lubelska</t>
  </si>
  <si>
    <t>percepcja.zmyslow@op.pl</t>
  </si>
  <si>
    <t>Radom</t>
  </si>
  <si>
    <t>NIEPUBLICZNA PORADNIA PSYCHOLOGICZNO - PEDAGOGICZNA "AGRAFKA" W BIELSKU PODLASKIM</t>
  </si>
  <si>
    <t>Bielsk Podlaski</t>
  </si>
  <si>
    <t>fundacja_pe@wp.pl</t>
  </si>
  <si>
    <t>NIEPUBLICZNA PORADNIA PSYCHOLOGICZNO - PEDAGOGICZNA "ALAN"</t>
  </si>
  <si>
    <t>pruszkowski</t>
  </si>
  <si>
    <t>Raszyn</t>
  </si>
  <si>
    <t>ul. Kościuszki</t>
  </si>
  <si>
    <t>logopeda@alanlange.edu.pl</t>
  </si>
  <si>
    <t>NIEPUBLICZNA PORADNIA PSYCHOLOGICZNO - PEDAGOGICZNA "ALFA" W SOKOŁOWIE PODLASKIM</t>
  </si>
  <si>
    <t>sokołowski</t>
  </si>
  <si>
    <t>Sokołów Podlaski</t>
  </si>
  <si>
    <t>ul. Wolności</t>
  </si>
  <si>
    <t>joannakaniuk@wp.pl</t>
  </si>
  <si>
    <t>NIEPUBLICZNA PORADNIA PSYCHOLOGICZNO - PEDAGOGICZNA "BŁĘKITNY DELFIN"</t>
  </si>
  <si>
    <t>białostocki</t>
  </si>
  <si>
    <t>Wasilków</t>
  </si>
  <si>
    <t>ul. Krucza</t>
  </si>
  <si>
    <t>sekretariat.delfin@wp.pl</t>
  </si>
  <si>
    <t>NIEPUBLICZNA PORADNIA PSYCHOLOGICZNO - PEDAGOGICZNA "CENTRUM ROZWOJU DZIECKA''"</t>
  </si>
  <si>
    <t>Szczytniki</t>
  </si>
  <si>
    <t>ul. Nad Wodą</t>
  </si>
  <si>
    <t>kontakt@centrum-rozwoju-dziecka.pl</t>
  </si>
  <si>
    <t>NIEPUBLICZNA PORADNIA PSYCHOLOGICZNO - PEDAGOGICZNA "JAŚ I MAŁGOSIA"</t>
  </si>
  <si>
    <t>Elbląg</t>
  </si>
  <si>
    <t>ul. Hetmańska</t>
  </si>
  <si>
    <t>biuro@fikk.pl</t>
  </si>
  <si>
    <t>szczecinecki</t>
  </si>
  <si>
    <t>Szczecinek</t>
  </si>
  <si>
    <t>kołobrzeski</t>
  </si>
  <si>
    <t>Kołobrzeg</t>
  </si>
  <si>
    <t>ul. 6 Dywizji Piechoty</t>
  </si>
  <si>
    <t>człuchowski</t>
  </si>
  <si>
    <t>Debrzno</t>
  </si>
  <si>
    <t>ul. Królewska</t>
  </si>
  <si>
    <t>sekretariat@fikk.pl</t>
  </si>
  <si>
    <t>wałecki</t>
  </si>
  <si>
    <t>Wałcz</t>
  </si>
  <si>
    <t>ul. Leśna</t>
  </si>
  <si>
    <t>NIEPUBLICZNA PORADNIA PSYCHOLOGICZNO - PEDAGOGICZNA "JAŚ I MAŁGOSIA" W ZŁOTOWIE</t>
  </si>
  <si>
    <t>złotowski</t>
  </si>
  <si>
    <t>Złotów</t>
  </si>
  <si>
    <t>ul. Bolesława Chrobrego</t>
  </si>
  <si>
    <t>NIEPUBLICZNA PORADNIA PSYCHOLOGICZNO - PEDAGOGICZNA "KRAINA WYOBRAŹNI"</t>
  </si>
  <si>
    <t>ul. Piotra Bardowskiego</t>
  </si>
  <si>
    <t>cstalentpabianice@gmail.com</t>
  </si>
  <si>
    <t>NIEPUBLICZNA PORADNIA PSYCHOLOGICZNO - PEDAGOGICZNA "MAŁE KROCZKI"</t>
  </si>
  <si>
    <t>lęborski</t>
  </si>
  <si>
    <t>Lębork</t>
  </si>
  <si>
    <t>ul. Syrokomli</t>
  </si>
  <si>
    <t>centrum.malekroczki@wp.pl</t>
  </si>
  <si>
    <t>NIEPUBLICZNA PORADNIA PSYCHOLOGICZNO - PEDAGOGICZNA "MAMILEO"</t>
  </si>
  <si>
    <t>wielicki</t>
  </si>
  <si>
    <t>Wieliczka</t>
  </si>
  <si>
    <t>ul. Władysława Reymonta</t>
  </si>
  <si>
    <t>kontakt@mamileo.pl</t>
  </si>
  <si>
    <t>NIEPUBLICZNA PORADNIA PSYCHOLOGICZNO - PEDAGOGICZNA "MOTYL"</t>
  </si>
  <si>
    <t>Serock</t>
  </si>
  <si>
    <t>ul. Warszawska</t>
  </si>
  <si>
    <t>marzena.skrzypkowska@terapiamotyl.pl</t>
  </si>
  <si>
    <t>Jabłonna</t>
  </si>
  <si>
    <t>NIEPUBLICZNA PORADNIA PSYCHOLOGICZNO - PEDAGOGICZNA "NIEZAPOMINAJKA" W SIEDLCACH</t>
  </si>
  <si>
    <t>ul. Sokołowska</t>
  </si>
  <si>
    <t>biuro@niezapominajka.siedlce.pl</t>
  </si>
  <si>
    <t>NIEPUBLICZNA PORADNIA PSYCHOLOGICZNO - PEDAGOGICZNA "ODNOVA DLA CIEBIE"</t>
  </si>
  <si>
    <t>kartuski</t>
  </si>
  <si>
    <t>Kartuzy</t>
  </si>
  <si>
    <t>ul. Jana Bielińskiego</t>
  </si>
  <si>
    <t>recepcja@odnova-dlaciebie.pl</t>
  </si>
  <si>
    <t>Gdynia</t>
  </si>
  <si>
    <t>NIEPUBLICZNA PORADNIA PSYCHOLOGICZNO - PEDAGOGICZNA "OLEŃKA"</t>
  </si>
  <si>
    <t>jchrzast@interia.eu</t>
  </si>
  <si>
    <t>NIEPUBLICZNA PORADNIA PSYCHOLOGICZNO - PEDAGOGICZNA "PRO-MOC"</t>
  </si>
  <si>
    <t>ul. Krotoszyńska</t>
  </si>
  <si>
    <t>beata.prusiewicz@wp.pl</t>
  </si>
  <si>
    <t>NIEPUBLICZNA PORADNIA PSYCHOLOGICZNO - PEDAGOGICZNA "PROMOTORIUM" W ŁOMŻY</t>
  </si>
  <si>
    <t>Łomża</t>
  </si>
  <si>
    <t>ul. Długa</t>
  </si>
  <si>
    <t>NIEPUBLICZNA PORADNIA PSYCHOLOGICZNO - PEDAGOGICZNA "PROMYK"</t>
  </si>
  <si>
    <t>ul. Kaliska</t>
  </si>
  <si>
    <t>gabinetpsycholog@interia.pl</t>
  </si>
  <si>
    <t>NIEPUBLICZNA PORADNIA PSYCHOLOGICZNO - PEDAGOGICZNA "RIM"</t>
  </si>
  <si>
    <t>Pruszków</t>
  </si>
  <si>
    <t>ul. Ołówkowa</t>
  </si>
  <si>
    <t>biuro@centrum-rim.pl</t>
  </si>
  <si>
    <t>NIEPUBLICZNA PORADNIA PSYCHOLOGICZNO - PEDAGOGICZNA "SARA"</t>
  </si>
  <si>
    <t>kościerski</t>
  </si>
  <si>
    <t>Kościerzyna</t>
  </si>
  <si>
    <t>ul. Kalinowa</t>
  </si>
  <si>
    <t>montessori-cybula@wp.pl</t>
  </si>
  <si>
    <t>NIEPUBLICZNA PORADNIA PSYCHOLOGICZNO - PEDAGOGICZNA "SZANSA"</t>
  </si>
  <si>
    <t>Tymbark</t>
  </si>
  <si>
    <t>rehtymbark@onet.pl</t>
  </si>
  <si>
    <t>NIEPUBLICZNA PORADNIA PSYCHOLOGICZNO - PEDAGOGICZNA "TERAPEUCIK"</t>
  </si>
  <si>
    <t>Człuchów</t>
  </si>
  <si>
    <t>kontakt@cenedu.pl</t>
  </si>
  <si>
    <t>NIEPUBLICZNA PORADNIA PSYCHOLOGICZNO - PEDAGOGICZNA "TOTU"</t>
  </si>
  <si>
    <t>Cieszyn</t>
  </si>
  <si>
    <t>ul. Mennicza</t>
  </si>
  <si>
    <t>NIEPUBLICZNA PORADNIA PSYCHOLOGICZNO - PEDAGOGICZNA "VADEMECUM' W KOŚCIERZYNIE</t>
  </si>
  <si>
    <t>kcevademecum@wp.pl</t>
  </si>
  <si>
    <t>NIEPUBLICZNA PORADNIA PSYCHOLOGICZNO - PEDAGOGICZNA "ZIELONY ŁOŚ"</t>
  </si>
  <si>
    <t>sochaczewski</t>
  </si>
  <si>
    <t>Sochaczew</t>
  </si>
  <si>
    <t>ul. Ułanów Jazłowieckich</t>
  </si>
  <si>
    <t>poradnialos@gmail.com</t>
  </si>
  <si>
    <t>NIEPUBLICZNA PORADNIA PSYCHOLOGICZNO - PEDAGOGICZNA CENTRUM EDUKACYJNE</t>
  </si>
  <si>
    <t>ul. Krasickiego</t>
  </si>
  <si>
    <t>poradnia@szkolyedukacyjne.pl</t>
  </si>
  <si>
    <t>NIEPUBLICZNA PORADNIA PSYCHOLOGICZNO - PEDAGOGICZNA CENTRUM TERAPII DZIECI I MŁODZIEŻY</t>
  </si>
  <si>
    <t>Mińsk Mazowiecki</t>
  </si>
  <si>
    <t>kontakt@centrumterapiidzieci.pl</t>
  </si>
  <si>
    <t>NIEPUBLICZNA PORADNIA PSYCHOLOGICZNO - PEDAGOGICZNA CENTRUM TERAPII MIOFUNCJONALNEJ KLINIKA JĘZYKA</t>
  </si>
  <si>
    <t>Jaworzno</t>
  </si>
  <si>
    <t>al. aleja marsz. Józefa Piłsudskiego</t>
  </si>
  <si>
    <t>NIEPUBLICZNA PORADNIA PSYCHOLOGICZNO - PEDAGOGICZNA CG</t>
  </si>
  <si>
    <t>ul. Sztormowa</t>
  </si>
  <si>
    <t>lo@cg.gda.pl</t>
  </si>
  <si>
    <t>NIEPUBLICZNA PORADNIA PSYCHOLOGICZNO - PEDAGOGICZNA CHIRAMED</t>
  </si>
  <si>
    <t>kontakt@nppp-chiramed.pl</t>
  </si>
  <si>
    <t>nowotarski</t>
  </si>
  <si>
    <t>Rabka-Zdrój</t>
  </si>
  <si>
    <t>NIEPUBLICZNA PORADNIA PSYCHOLOGICZNO - PEDAGOGICZNA CLIPP</t>
  </si>
  <si>
    <t>ul. Grodzieńska</t>
  </si>
  <si>
    <t>clipp@clipp.pl</t>
  </si>
  <si>
    <t>NIEPUBLICZNA PORADNIA PSYCHOLOGICZNO - PEDAGOGICZNA COGITO W SIEDLCACH</t>
  </si>
  <si>
    <t>ul. Wojska Polskiego</t>
  </si>
  <si>
    <t>m_barton@o2.pl</t>
  </si>
  <si>
    <t>NIEPUBLICZNA PORADNIA PSYCHOLOGICZNO - PEDAGOGICZNA EDUSA W SUWAŁKACH</t>
  </si>
  <si>
    <t>ul. Klonowa</t>
  </si>
  <si>
    <t>nppp.edusa@onet.pl</t>
  </si>
  <si>
    <t>NIEPUBLICZNA PORADNIA PSYCHOLOGICZNO - PEDAGOGICZNA EDYTA SZCZYGIEŁ</t>
  </si>
  <si>
    <t>Wrocław-Psie Pole</t>
  </si>
  <si>
    <t>ul. Kmieca</t>
  </si>
  <si>
    <t>edytaszczygiel@interia.pl</t>
  </si>
  <si>
    <t>NIEPUBLICZNA PORADNIA PSYCHOLOGICZNO - PEDAGOGICZNA FIZJOGO</t>
  </si>
  <si>
    <t>ul. Henryka Dąbrowskiego</t>
  </si>
  <si>
    <t>kontakt@fizjogo.pl</t>
  </si>
  <si>
    <t>NIEPUBLICZNA PORADNIA PSYCHOLOGICZNO - PEDAGOGICZNA FUNDACJI DOBROCZYŃCA</t>
  </si>
  <si>
    <t>pucki</t>
  </si>
  <si>
    <t>Kosakowo</t>
  </si>
  <si>
    <t>Mosty</t>
  </si>
  <si>
    <t>fundacjadobroczynca@gmail.com</t>
  </si>
  <si>
    <t>NIEPUBLICZNA PORADNIA PSYCHOLOGICZNO - PEDAGOGICZNA IM. JOLANTY LIZER W LUBARTOWIE</t>
  </si>
  <si>
    <t>lubartowski</t>
  </si>
  <si>
    <t>Lubartów</t>
  </si>
  <si>
    <t>alicjabonat@gmail.com</t>
  </si>
  <si>
    <t>NIEPUBLICZNA PORADNIA PSYCHOLOGICZNO - PEDAGOGICZNA LAUDAME</t>
  </si>
  <si>
    <t>otwocki</t>
  </si>
  <si>
    <t>Otwock</t>
  </si>
  <si>
    <t>ul. Radosna</t>
  </si>
  <si>
    <t>biuro.laudame@gmail.com</t>
  </si>
  <si>
    <t>NIEPUBLICZNA PORADNIA PSYCHOLOGICZNO - PEDAGOGICZNA LEPSZE JUTRO</t>
  </si>
  <si>
    <t>ul. Jaśminowa</t>
  </si>
  <si>
    <t>szkolyinsygnia@gmail.com</t>
  </si>
  <si>
    <t>NIEPUBLICZNA PORADNIA PSYCHOLOGICZNO - PEDAGOGICZNA LOGO</t>
  </si>
  <si>
    <t>poradnialogo@gmail.com</t>
  </si>
  <si>
    <t>NIEPUBLICZNA PORADNIA PSYCHOLOGICZNO - PEDAGOGICZNA MĄDRA SÓWKA</t>
  </si>
  <si>
    <t>al. Niepodległości</t>
  </si>
  <si>
    <t>poradnia.pruszkow@gmail.com</t>
  </si>
  <si>
    <t>Nadarzyn</t>
  </si>
  <si>
    <t>NIEPUBLICZNA PORADNIA PSYCHOLOGICZNO - PEDAGOGICZNA MANUFAKTURA TERAPII</t>
  </si>
  <si>
    <t>Tłuszcz</t>
  </si>
  <si>
    <t>manufaktura.terapii@gmail.com</t>
  </si>
  <si>
    <t>NIEPUBLICZNA PORADNIA PSYCHOLOGICZNO - PEDAGOGICZNA MENTIS W GORZOWIE WLKP.</t>
  </si>
  <si>
    <t>ul. Saska</t>
  </si>
  <si>
    <t>mentis66400@gmail.com</t>
  </si>
  <si>
    <t>NIEPUBLICZNA PORADNIA PSYCHOLOGICZNO - PEDAGOGICZNA OONIWEREK</t>
  </si>
  <si>
    <t>Izabelin</t>
  </si>
  <si>
    <t>ul. Szkolna</t>
  </si>
  <si>
    <t>poradnia@ooniwerek.pl</t>
  </si>
  <si>
    <t>NIEPUBLICZNA PORADNIA PSYCHOLOGICZNO - PEDAGOGICZNA PLANETA INTEGRACJI</t>
  </si>
  <si>
    <t>ul. Bohaterów</t>
  </si>
  <si>
    <t>mmonika34@op.pl</t>
  </si>
  <si>
    <t>NIEPUBLICZNA PORADNIA PSYCHOLOGICZNO - PEDAGOGICZNA POCEMON</t>
  </si>
  <si>
    <t>ul. Powstańców</t>
  </si>
  <si>
    <t>poradnia@pocemon.pl</t>
  </si>
  <si>
    <t>NIEPUBLICZNA PORADNIA PSYCHOLOGICZNO - PEDAGOGICZNA POLONIA</t>
  </si>
  <si>
    <t>Nowy Targ</t>
  </si>
  <si>
    <t>os. Wincentego Witosa</t>
  </si>
  <si>
    <t>poradnia@pzpo.edu.pl</t>
  </si>
  <si>
    <t>NIEPUBLICZNA PORADNIA PSYCHOLOGICZNO - PEDAGOGICZNA PRACOWNIA PSYCHOLOGICZNA</t>
  </si>
  <si>
    <t>złotoryjski</t>
  </si>
  <si>
    <t>Zagrodno</t>
  </si>
  <si>
    <t>Olszanica</t>
  </si>
  <si>
    <t>nppp.pracowniapsychologiczna@gmail.com</t>
  </si>
  <si>
    <t>legnicki</t>
  </si>
  <si>
    <t>Chojnów</t>
  </si>
  <si>
    <t>NIEPUBLICZNA PORADNIA PSYCHOLOGICZNO - PEDAGOGICZNA RÓWNE SZANSE KIELNIK-KAŁUŻNA, SKOWRONEK SPÓŁKA JAWNA</t>
  </si>
  <si>
    <t>ul. Grochowska</t>
  </si>
  <si>
    <t>logopeda.skk@gmail.com</t>
  </si>
  <si>
    <t>NIEPUBLICZNA PORADNIA PSYCHOLOGICZNO - PEDAGOGICZNA SENSIS</t>
  </si>
  <si>
    <t>ul. Helenowska</t>
  </si>
  <si>
    <t>sensis@sensis.edu.pl</t>
  </si>
  <si>
    <t>NIEPUBLICZNA PORADNIA PSYCHOLOGICZNO - PEDAGOGICZNA ŚW. JÓZEFA W SĘDZISZOWIE MAŁOPOLSKIM</t>
  </si>
  <si>
    <t>ropczycko-sędziszowski</t>
  </si>
  <si>
    <t>Sędziszów Małopolski</t>
  </si>
  <si>
    <t>zabawamariola@gmail.com</t>
  </si>
  <si>
    <t>NIEPUBLICZNA PORADNIA PSYCHOLOGICZNO - PEDAGOGICZNA SZANSA</t>
  </si>
  <si>
    <t>ul. Wiśniowa</t>
  </si>
  <si>
    <t>info@npppszansa.pl</t>
  </si>
  <si>
    <t>NIEPUBLICZNA PORADNIA PSYCHOLOGICZNO - PEDAGOGICZNA VITAUTIA</t>
  </si>
  <si>
    <t>Wołomin</t>
  </si>
  <si>
    <t>ul. Sikorskiego</t>
  </si>
  <si>
    <t>poradnia@vitautia.pl</t>
  </si>
  <si>
    <t>NIEPUBLICZNA PORADNIA PSYCHOLOGICZNO - PEDAGOGICZNA VIVO</t>
  </si>
  <si>
    <t>Kobyłka</t>
  </si>
  <si>
    <t>ul. Jana Brzechwy</t>
  </si>
  <si>
    <t>NIEPUBLICZNA PORADNIA PSYCHOLOGICZNO - PEDAGOGICZNA W ALEKSANDROWIE ŁÓDZKIM</t>
  </si>
  <si>
    <t>zgierski</t>
  </si>
  <si>
    <t>Aleksandrów Łódzki</t>
  </si>
  <si>
    <t>ul. Ogrodowa</t>
  </si>
  <si>
    <t>sekretariat@scholar-erazmus.pl</t>
  </si>
  <si>
    <t>NIEPUBLICZNA PORADNIA PSYCHOLOGICZNO - PEDAGOGICZNA W KALISZU</t>
  </si>
  <si>
    <t>Kalisz</t>
  </si>
  <si>
    <t>al. Aleja Wolności</t>
  </si>
  <si>
    <t>kalisz@awangarda.edu.pl</t>
  </si>
  <si>
    <t>Zielona Góra</t>
  </si>
  <si>
    <t>NIEPUBLICZNA PORADNIA PSYCHOLOGICZNO - PEDAGOGICZNA W KWIDZYNIE</t>
  </si>
  <si>
    <t>kwidzyński</t>
  </si>
  <si>
    <t>Kwidzyn</t>
  </si>
  <si>
    <t>ul. Kołłątaja</t>
  </si>
  <si>
    <t>nppp@aac.pl</t>
  </si>
  <si>
    <t>NIEPUBLICZNA PORADNIA PSYCHOLOGICZNO - PEDAGOGICZNA W ŁOBŻENICY</t>
  </si>
  <si>
    <t>Łobżenica</t>
  </si>
  <si>
    <t>ul. Złotowska</t>
  </si>
  <si>
    <t>NIEPUBLICZNA PORADNIA PSYCHOLOGICZNO - PEDAGOGICZNA W MYŚLENICACH</t>
  </si>
  <si>
    <t>myślenicki</t>
  </si>
  <si>
    <t>Myślenice</t>
  </si>
  <si>
    <t>ul. Drogowców</t>
  </si>
  <si>
    <t>poradnia@pppmyslenice.pl</t>
  </si>
  <si>
    <t>NIEPUBLICZNA PORADNIA PSYCHOLOGICZNO - PEDAGOGICZNA W PARKOSZU</t>
  </si>
  <si>
    <t>dębicki</t>
  </si>
  <si>
    <t>Pilzno</t>
  </si>
  <si>
    <t>Parkosz</t>
  </si>
  <si>
    <t>parkosz@ichlepszejutro.pl</t>
  </si>
  <si>
    <t>NIEPUBLICZNA PORADNIA PSYCHOLOGICZNO - PEDAGOGICZNA W PILE. NIEPUBLICZNA PLACÓWKA OŚWIATOWA</t>
  </si>
  <si>
    <t>ul. Podchorążych</t>
  </si>
  <si>
    <t>NIEPUBLICZNA PORADNIA PSYCHOLOGICZNO - PEDAGOGICZNA W TARNOWIE</t>
  </si>
  <si>
    <t>ul. Jana Kochanowskiego</t>
  </si>
  <si>
    <t>biuro@ichlepszejutro.pl</t>
  </si>
  <si>
    <t>NIEPUBLICZNA PORADNIA PSYCHOLOGICZNO - PEDAGOGICZNA W ZABIELU WIELKIM</t>
  </si>
  <si>
    <t>ostrołęcki</t>
  </si>
  <si>
    <t>Olszewo-Borki</t>
  </si>
  <si>
    <t>Zabiele Wielkie</t>
  </si>
  <si>
    <t>m.niedzwiecka.edukacja@gmail.com</t>
  </si>
  <si>
    <t>NIEPUBLICZNA PORADNIA PSYCHOLOGICZNO - PEDAGOGICZNA WCZESNEGO WSPOMAGANIA ROZWOJU DZIECKA "PRZYJAZNE CENTRUM PROMYK"</t>
  </si>
  <si>
    <t>lidzbarski</t>
  </si>
  <si>
    <t>Orneta</t>
  </si>
  <si>
    <t>ul. Żelazna</t>
  </si>
  <si>
    <t>badydamagda@gmail.com</t>
  </si>
  <si>
    <t>NIEPUBLICZNA PORADNIA PSYCHOLOGICZNO - PEDAGOGICZNA WONDER WORLD</t>
  </si>
  <si>
    <t>ul. ks. Piotra Skargi</t>
  </si>
  <si>
    <t>wwporadnia@o2.pl</t>
  </si>
  <si>
    <t>NIEPUBLICZNA PORADNIA PSYCHOLOGICZNO - PEDAGOGICZNA ZUZIA W STRZYŻOWIE</t>
  </si>
  <si>
    <t>strzyżowski</t>
  </si>
  <si>
    <t>Strzyżów</t>
  </si>
  <si>
    <t>ul. Sanocka</t>
  </si>
  <si>
    <t>strzyzow@poradniazuzia.pl</t>
  </si>
  <si>
    <t>NIEPUBLICZNA PORADNIA PSYCHOLOGICZNO - PEDAGOGOCZNA "OPTIMUM" W BOCHNI</t>
  </si>
  <si>
    <t>bocheński</t>
  </si>
  <si>
    <t>Bochnia</t>
  </si>
  <si>
    <t>Rynek</t>
  </si>
  <si>
    <t>optimumbochnia@interia.pl</t>
  </si>
  <si>
    <t>NIEPUBLICZNA PORADNIA PSYCHOLOGICZNO -PEDAGOGICZNA DIDISI</t>
  </si>
  <si>
    <t>ul. Wacława Balcerskiego</t>
  </si>
  <si>
    <t>tomatis.gdansk@gmail.com</t>
  </si>
  <si>
    <t>Żukowo</t>
  </si>
  <si>
    <t>NIEPUBLICZNA PORADNIA PSYCHOLOGICZNO -PEDAGOGICZNA NO BELL LABORATORIUM PSYCHOLOGII DZIECKA</t>
  </si>
  <si>
    <t>Konstancin-Jeziorna</t>
  </si>
  <si>
    <t>ul. Mirkowska</t>
  </si>
  <si>
    <t>laboratorium@nobell.edu.pl</t>
  </si>
  <si>
    <t>NIEPUBLICZNA PORADNIA PSYCHOLOGICZNO – PEDAGOGICZNA „ŚWIĘTOKRZYSKA” W ŁOPUSZNIE</t>
  </si>
  <si>
    <t>kielecki</t>
  </si>
  <si>
    <t>Łopuszno</t>
  </si>
  <si>
    <t>ul. Włoszczowska</t>
  </si>
  <si>
    <t>poradnia@poradniakielce.pl</t>
  </si>
  <si>
    <t>NIEPUBLICZNA PORADNIA PSYCHOLOGICZNO – PEDAGOGICZNA „SZANSA”</t>
  </si>
  <si>
    <t>ul. por. Kazimierza Ogrodowskiego</t>
  </si>
  <si>
    <t>poradnia@szansa-rybnik.pl</t>
  </si>
  <si>
    <t>NIEPUBLICZNA PORADNIA PSYCHOLOGICZNO PEDAGOGICZNA "LILAVATI"</t>
  </si>
  <si>
    <t>żarski</t>
  </si>
  <si>
    <t>Żary</t>
  </si>
  <si>
    <t>ul. Bohaterów Getta</t>
  </si>
  <si>
    <t>NIEPUBLICZNA PORADNIA PSYCHOLOGICZNO PEDAGOGICZNA AGVITA</t>
  </si>
  <si>
    <t>Poznań-Grunwald</t>
  </si>
  <si>
    <t>ul. Promienista</t>
  </si>
  <si>
    <t>recepcja@agvita.pl</t>
  </si>
  <si>
    <t>Poznań-Wilda</t>
  </si>
  <si>
    <t>NIEPUBLICZNA PORADNIA PSYCHOLOGICZNO PEDAGOGICZNA FUNDACJI DAR EDUKACJI</t>
  </si>
  <si>
    <t>ul. mjr. Henryka Sucharskiego</t>
  </si>
  <si>
    <t>makowska.a@o2.pl</t>
  </si>
  <si>
    <t>NIEPUBLICZNA PORADNIA PSYCHOLOGICZNO PEDAGOGICZNA KAR-MEL</t>
  </si>
  <si>
    <t>ul. Belgradzka</t>
  </si>
  <si>
    <t>bcsszkolenia@op.pl</t>
  </si>
  <si>
    <t>NIEPUBLICZNA PORADNIA PSYCHOLOGICZNO PEDAGOGICZNA PRO EDU W ŁOMŻY</t>
  </si>
  <si>
    <t>kontakt@poradnia-lomza.pl</t>
  </si>
  <si>
    <t>NIEPUBLICZNA PORADNIA PSYCHOLOGICZNO PEDAGOGICZNA STAMINA</t>
  </si>
  <si>
    <t>ul. Jana Kilińskiego</t>
  </si>
  <si>
    <t>slawek.zolkiewski@gmail.com</t>
  </si>
  <si>
    <t>NIEPUBLICZNA PORADNIA PSYCHOLOGICZNO- PEDAGOGICZNA ,,JAŚ I MAŁGOSIA''</t>
  </si>
  <si>
    <t>ul. Świętojańska</t>
  </si>
  <si>
    <t>NIEPUBLICZNA PORADNIA PSYCHOLOGICZNO- PEDAGOGICZNA ,,MAŁE KROCZKI"</t>
  </si>
  <si>
    <t>ul. gen. Broni Władysława Sikorskiego</t>
  </si>
  <si>
    <t>LOGOPEDA.TROJMIASTO@GMAIL.COM</t>
  </si>
  <si>
    <t>NIEPUBLICZNA PORADNIA PSYCHOLOGICZNO- PEDAGOGICZNA CENTRUM PSYCHOEDUKACJI I ROZWOJU BIZNESU IN PROGRES</t>
  </si>
  <si>
    <t>siemiatycki</t>
  </si>
  <si>
    <t>Siemiatycze</t>
  </si>
  <si>
    <t>ul. Pałacowa</t>
  </si>
  <si>
    <t>poradnia@in-progres.pl</t>
  </si>
  <si>
    <t>NIEPUBLICZNA PORADNIA PSYCHOLOGICZNO- PEDAGOGICZNA EMPIRIA.PL</t>
  </si>
  <si>
    <t>ul. Żubardzka</t>
  </si>
  <si>
    <t>instytutbadanpsychologicznych@gmail.com</t>
  </si>
  <si>
    <t>Łódź-Górna</t>
  </si>
  <si>
    <t>NIEPUBLICZNA PORADNIA PSYCHOLOGICZNO- PEDAGOGICZNA I REHABILITACYJNA ASQ</t>
  </si>
  <si>
    <t>ul. Kościelna</t>
  </si>
  <si>
    <t>poradnia@asqporadnia.pl</t>
  </si>
  <si>
    <t>NIEPUBLICZNA PORADNIA PSYCHOLOGICZNO- PEDAGOGICZNA PEGAZ</t>
  </si>
  <si>
    <t>ul. Jemiołowa</t>
  </si>
  <si>
    <t>muminska@pegaz.la</t>
  </si>
  <si>
    <t>NIEPUBLICZNA PORADNIA PSYCHOLOGICZNO- PEDAGOGICZNA PLUSIK- MINUSIK</t>
  </si>
  <si>
    <t>ul. Parkowa</t>
  </si>
  <si>
    <t>kontakt@plusik-minusik.pl</t>
  </si>
  <si>
    <t>NIEPUBLICZNA PORADNIA PSYCHOLOGICZNO- PEDAGOGICZNA PRAKTIS BEATA WARAKSA</t>
  </si>
  <si>
    <t>ul. Stefana Starzyńskiego</t>
  </si>
  <si>
    <t>poradniaslupsk@protonmail.com</t>
  </si>
  <si>
    <t>NIEPUBLICZNA PORADNIA PSYCHOLOGICZNO-PEDAGOGICZNA</t>
  </si>
  <si>
    <t>myśliborski</t>
  </si>
  <si>
    <t>Myślibórz</t>
  </si>
  <si>
    <t>cksowa@wp.pl</t>
  </si>
  <si>
    <t>Chybie</t>
  </si>
  <si>
    <t>starogardzki</t>
  </si>
  <si>
    <t>Skarszewy</t>
  </si>
  <si>
    <t>ul. Kościerska</t>
  </si>
  <si>
    <t>biuro@psoni-skarszewy.pl</t>
  </si>
  <si>
    <t>ul. Gwarków</t>
  </si>
  <si>
    <t>cdikk@wp.pl</t>
  </si>
  <si>
    <t>Chełm</t>
  </si>
  <si>
    <t>ul. Ceramiczna</t>
  </si>
  <si>
    <t>świdnicki</t>
  </si>
  <si>
    <t>Mełgiew</t>
  </si>
  <si>
    <t>alicjabonat.nppp@gmail.com</t>
  </si>
  <si>
    <t>ul. Józefowska</t>
  </si>
  <si>
    <t>sabina.mazur@crdbk.pl</t>
  </si>
  <si>
    <t>grodziski</t>
  </si>
  <si>
    <t>Grodzisk Wielkopolski</t>
  </si>
  <si>
    <t>ul. Środkowa</t>
  </si>
  <si>
    <t>prywatnecentrum@op.pl</t>
  </si>
  <si>
    <t>Kaliska</t>
  </si>
  <si>
    <t>ul. Nowowiejska</t>
  </si>
  <si>
    <t>głogowski</t>
  </si>
  <si>
    <t>Głogów</t>
  </si>
  <si>
    <t>ul. Słodowa</t>
  </si>
  <si>
    <t>poradnia@trzyrybki.pl</t>
  </si>
  <si>
    <t>mmszmigiel2@wp.pl</t>
  </si>
  <si>
    <t>Skierniewice</t>
  </si>
  <si>
    <t>ul. Łowicka</t>
  </si>
  <si>
    <t>poczta@poradniapsychologiczna.info</t>
  </si>
  <si>
    <t>Strzegom</t>
  </si>
  <si>
    <t>ul. Legnicka</t>
  </si>
  <si>
    <t>nppp.strzegom@wp.pl</t>
  </si>
  <si>
    <t>kętrzyński</t>
  </si>
  <si>
    <t>Kętrzyn</t>
  </si>
  <si>
    <t>poradniaketrzyn@gmail.com</t>
  </si>
  <si>
    <t>tatrzański</t>
  </si>
  <si>
    <t>Bukowina Tatrzańska</t>
  </si>
  <si>
    <t>Jurgów</t>
  </si>
  <si>
    <t>info@tersenjurgow.pl</t>
  </si>
  <si>
    <t>ul. Śródmiejska</t>
  </si>
  <si>
    <t>NIEPUBLICZNA PORADNIA PSYCHOLOGICZNO-PEDAGOGICZNA - EUREKA</t>
  </si>
  <si>
    <t>mikołowski</t>
  </si>
  <si>
    <t>Łaziska Górne</t>
  </si>
  <si>
    <t>ul. Mikołowska</t>
  </si>
  <si>
    <t>eureka@centrum-eureka.pl</t>
  </si>
  <si>
    <t>NIEPUBLICZNA PORADNIA PSYCHOLOGICZNO-PEDAGOGICZNA ,,CALI MALI''</t>
  </si>
  <si>
    <t>Poznań-Nowe Miasto</t>
  </si>
  <si>
    <t>biuro@calimali.pl</t>
  </si>
  <si>
    <t>NIEPUBLICZNA PORADNIA PSYCHOLOGICZNO-PEDAGOGICZNA ,,WZRASTAM"</t>
  </si>
  <si>
    <t>Ząbki</t>
  </si>
  <si>
    <t>ul. Józefa Piłsudskiego</t>
  </si>
  <si>
    <t>kontakt@gabinetwzrastam.pl</t>
  </si>
  <si>
    <t>NIEPUBLICZNA PORADNIA PSYCHOLOGICZNO-PEDAGOGICZNA '"ZACZAROWANY OGRÓD"</t>
  </si>
  <si>
    <t>poradniazaczarowanyogrod@gmail.com</t>
  </si>
  <si>
    <t>NIEPUBLICZNA PORADNIA PSYCHOLOGICZNO-PEDAGOGICZNA 'MY'</t>
  </si>
  <si>
    <t>Mokotów</t>
  </si>
  <si>
    <t>ul. Chocimska</t>
  </si>
  <si>
    <t>NIEPUBLICZNA PORADNIA PSYCHOLOGICZNO-PEDAGOGICZNA 'WYSPA SKARBÓW"</t>
  </si>
  <si>
    <t>ul. Wyszogrodzka</t>
  </si>
  <si>
    <t>novum@wlodkowic.pl</t>
  </si>
  <si>
    <t>NIEPUBLICZNA PORADNIA PSYCHOLOGICZNO-PEDAGOGICZNA " SZANSA"</t>
  </si>
  <si>
    <t>Siemianowice Śląskie</t>
  </si>
  <si>
    <t>szansasiemianowice@gmail.com</t>
  </si>
  <si>
    <t>NIEPUBLICZNA PORADNIA PSYCHOLOGICZNO-PEDAGOGICZNA "AB OVO"</t>
  </si>
  <si>
    <t>Lesznowola</t>
  </si>
  <si>
    <t>Nowa Wola</t>
  </si>
  <si>
    <t>ul. Postępu</t>
  </si>
  <si>
    <t>karolina.k.godlewska@gmail.com</t>
  </si>
  <si>
    <t>NIEPUBLICZNA PORADNIA PSYCHOLOGICZNO-PEDAGOGICZNA "AGATHUM"</t>
  </si>
  <si>
    <t>ul. gen. Jana Henryka Dąbrowskiego</t>
  </si>
  <si>
    <t>sekretariat@agathum.pl</t>
  </si>
  <si>
    <t>częstochowski</t>
  </si>
  <si>
    <t>NIEPUBLICZNA PORADNIA PSYCHOLOGICZNO-PEDAGOGICZNA "AKADEMIA ROZWOJU"</t>
  </si>
  <si>
    <t>ul. Maltańska</t>
  </si>
  <si>
    <t>Wola</t>
  </si>
  <si>
    <t>NIEPUBLICZNA PORADNIA PSYCHOLOGICZNO-PEDAGOGICZNA "AKADEMICKIE CENTRUM ROZWOJU DZIECKA" W INOWROCŁAWIU WYŻSZEJ SZKOŁY GOSPODARKI</t>
  </si>
  <si>
    <t>NIEPUBLICZNA PORADNIA PSYCHOLOGICZNO-PEDAGOGICZNA "ALFA"</t>
  </si>
  <si>
    <t>ul. Polna</t>
  </si>
  <si>
    <t>anetaslubik@poczta.onet.pl</t>
  </si>
  <si>
    <t>NIEPUBLICZNA PORADNIA PSYCHOLOGICZNO-PEDAGOGICZNA "ALTER" W BIAŁYMSTOKU</t>
  </si>
  <si>
    <t>ul. Zwycięstwa</t>
  </si>
  <si>
    <t>fundacja.evolver@gmail.com</t>
  </si>
  <si>
    <t>Chorzów</t>
  </si>
  <si>
    <t>NIEPUBLICZNA PORADNIA PSYCHOLOGICZNO-PEDAGOGICZNA "ALTER" W BIELSKU-BIAŁEJ</t>
  </si>
  <si>
    <t>NIEPUBLICZNA PORADNIA PSYCHOLOGICZNO-PEDAGOGICZNA "ALTER" W CHORZOWIE</t>
  </si>
  <si>
    <t>chorzow@poradniaalter.pl</t>
  </si>
  <si>
    <t>NIEPUBLICZNA PORADNIA PSYCHOLOGICZNO-PEDAGOGICZNA "ALTER" W SŁUPSKU</t>
  </si>
  <si>
    <t>al. Henryka Sienkiewicza</t>
  </si>
  <si>
    <t>slupsk@poradniaalter.pl</t>
  </si>
  <si>
    <t>NIEPUBLICZNA PORADNIA PSYCHOLOGICZNO-PEDAGOGICZNA "ALTER" W SOSNOWCU</t>
  </si>
  <si>
    <t>Sosnowiec</t>
  </si>
  <si>
    <t>ul. Ostrogórska</t>
  </si>
  <si>
    <t>sosnowiec@poradniaalter.pl</t>
  </si>
  <si>
    <t>NIEPUBLICZNA PORADNIA PSYCHOLOGICZNO-PEDAGOGICZNA "ANIMUS"</t>
  </si>
  <si>
    <t>Grodzisk Mazowiecki</t>
  </si>
  <si>
    <t>biuro@animus.pl</t>
  </si>
  <si>
    <t>NIEPUBLICZNA PORADNIA PSYCHOLOGICZNO-PEDAGOGICZNA "ARCAMIA"</t>
  </si>
  <si>
    <t>Poznań-Stare Miasto</t>
  </si>
  <si>
    <t>ul. gen. Tadeusza Kutrzeby</t>
  </si>
  <si>
    <t>monika.wierbilowicz@gmail.com</t>
  </si>
  <si>
    <t>NIEPUBLICZNA PORADNIA PSYCHOLOGICZNO-PEDAGOGICZNA "ARKA NOEGO"</t>
  </si>
  <si>
    <t>tczewski</t>
  </si>
  <si>
    <t>Tczew</t>
  </si>
  <si>
    <t>ul. Czyżykowska</t>
  </si>
  <si>
    <t>nsptczew@sp.tczew.pl</t>
  </si>
  <si>
    <t>NIEPUBLICZNA PORADNIA PSYCHOLOGICZNO-PEDAGOGICZNA "ARKA PRZYSZŁOŚCI"</t>
  </si>
  <si>
    <t>ul. Ignacego Mościckiego</t>
  </si>
  <si>
    <t>NIEPUBLICZNA PORADNIA PSYCHOLOGICZNO-PEDAGOGICZNA "ART - SUKCES"</t>
  </si>
  <si>
    <t>ul. Walentego Barczewskiego</t>
  </si>
  <si>
    <t>sekretariat@artschool.com.pl</t>
  </si>
  <si>
    <t>NIEPUBLICZNA PORADNIA PSYCHOLOGICZNO-PEDAGOGICZNA "ASTRA"</t>
  </si>
  <si>
    <t>Praga-Północ</t>
  </si>
  <si>
    <t>ulikprzeszkole@gmail.com</t>
  </si>
  <si>
    <t>NIEPUBLICZNA PORADNIA PSYCHOLOGICZNO-PEDAGOGICZNA "BEZPIECZNA PRZYSTAŃ"</t>
  </si>
  <si>
    <t>ul. Otolińska</t>
  </si>
  <si>
    <t>npppbezpiecznaprzystan@wp.pl</t>
  </si>
  <si>
    <t>NIEPUBLICZNA PORADNIA PSYCHOLOGICZNO-PEDAGOGICZNA "BIOFEEDBACK"</t>
  </si>
  <si>
    <t>ul. Zagłębiowska</t>
  </si>
  <si>
    <t>info@centrum-biofeedback.pl</t>
  </si>
  <si>
    <t>NIEPUBLICZNA PORADNIA PSYCHOLOGICZNO-PEDAGOGICZNA "BULLERBYN"</t>
  </si>
  <si>
    <t>Wilcza Góra</t>
  </si>
  <si>
    <t>ul. Nieziemska</t>
  </si>
  <si>
    <t>biuro@bullerbyn.pl</t>
  </si>
  <si>
    <t>NIEPUBLICZNA PORADNIA PSYCHOLOGICZNO-PEDAGOGICZNA "CARPE DIEM" W CHEŁMIE</t>
  </si>
  <si>
    <t>ul. Obłońska</t>
  </si>
  <si>
    <t>Świdnik</t>
  </si>
  <si>
    <t>NIEPUBLICZNA PORADNIA PSYCHOLOGICZNO-PEDAGOGICZNA "CEDIT"</t>
  </si>
  <si>
    <t>Jastrzębie-Zdrój</t>
  </si>
  <si>
    <t>ul. Beskidzka</t>
  </si>
  <si>
    <t>kat.janota@gmail.com</t>
  </si>
  <si>
    <t>NIEPUBLICZNA PORADNIA PSYCHOLOGICZNO-PEDAGOGICZNA "CENTRUM PROMYK"</t>
  </si>
  <si>
    <t>ul. Puławska</t>
  </si>
  <si>
    <t>centrum.promyk@gmail.com</t>
  </si>
  <si>
    <t>NIEPUBLICZNA PORADNIA PSYCHOLOGICZNO-PEDAGOGICZNA "CENTRUM TERAPII DIALOG"</t>
  </si>
  <si>
    <t>ul. Stryjeńskich</t>
  </si>
  <si>
    <t>NIEPUBLICZNA PORADNIA PSYCHOLOGICZNO-PEDAGOGICZNA "CENTRUM WCZEŚNIAKA I MAŁEGO DZIECKA"</t>
  </si>
  <si>
    <t>Dąbrowa Górnicza</t>
  </si>
  <si>
    <t>ul. Gustawa Morcinka</t>
  </si>
  <si>
    <t>biuro@centrumwczesniaka.pl</t>
  </si>
  <si>
    <t>NIEPUBLICZNA PORADNIA PSYCHOLOGICZNO-PEDAGOGICZNA "CENTRUM WSPIERANIA DZIECKA I RODZINY"</t>
  </si>
  <si>
    <t>ul. Zapleczna</t>
  </si>
  <si>
    <t>jagoda.kalinowska@wp.pl</t>
  </si>
  <si>
    <t>NIEPUBLICZNA PORADNIA PSYCHOLOGICZNO-PEDAGOGICZNA "CENTRUM WSPIERANIA ROZWOJU" W WĘGROWIE</t>
  </si>
  <si>
    <t>węgrowski</t>
  </si>
  <si>
    <t>Węgrów</t>
  </si>
  <si>
    <t>ul. Urocza</t>
  </si>
  <si>
    <t>cwr@onet.eu</t>
  </si>
  <si>
    <t>NIEPUBLICZNA PORADNIA PSYCHOLOGICZNO-PEDAGOGICZNA "CZARODZIEJSKI OGRÓD"</t>
  </si>
  <si>
    <t>al. Jana Pawła II</t>
  </si>
  <si>
    <t>kjarzynka@icloud.com</t>
  </si>
  <si>
    <t>NIEPUBLICZNA PORADNIA PSYCHOLOGICZNO-PEDAGOGICZNA "DOBRA PRZESTRZEŃ"</t>
  </si>
  <si>
    <t>ul. Rakietników</t>
  </si>
  <si>
    <t>kontakt@dobra-przestrzen.pl</t>
  </si>
  <si>
    <t>NIEPUBLICZNA PORADNIA PSYCHOLOGICZNO-PEDAGOGICZNA "DOBRY START" W ŚWIEBODZICACH</t>
  </si>
  <si>
    <t>Świebodzice</t>
  </si>
  <si>
    <t>ul. Królowej Elżbiety</t>
  </si>
  <si>
    <t>radoslawkornas@gmail.com</t>
  </si>
  <si>
    <t>Wałbrzych</t>
  </si>
  <si>
    <t>NIEPUBLICZNA PORADNIA PSYCHOLOGICZNO-PEDAGOGICZNA "DOBRY START" W ZAŁUSKACH</t>
  </si>
  <si>
    <t>płoński</t>
  </si>
  <si>
    <t>Załuski</t>
  </si>
  <si>
    <t>biuro@poradniainfo.pl</t>
  </si>
  <si>
    <t>NIEPUBLICZNA PORADNIA PSYCHOLOGICZNO-PEDAGOGICZNA "DOKTOR LOGOPEDA"</t>
  </si>
  <si>
    <t>ul. Janowska</t>
  </si>
  <si>
    <t>doktor.logopeda@gmail.com</t>
  </si>
  <si>
    <t>NIEPUBLICZNA PORADNIA PSYCHOLOGICZNO-PEDAGOGICZNA "DRABINKA"</t>
  </si>
  <si>
    <t>łosicki</t>
  </si>
  <si>
    <t>Łosice</t>
  </si>
  <si>
    <t>ul. Białostocka</t>
  </si>
  <si>
    <t>centrumdrabinka@gmail.com</t>
  </si>
  <si>
    <t>NIEPUBLICZNA PORADNIA PSYCHOLOGICZNO-PEDAGOGICZNA "DZIATWA"</t>
  </si>
  <si>
    <t>ul. Dziatwy</t>
  </si>
  <si>
    <t>poradnia@sto2.pl</t>
  </si>
  <si>
    <t>NIEPUBLICZNA PORADNIA PSYCHOLOGICZNO-PEDAGOGICZNA "EDUKACJA"</t>
  </si>
  <si>
    <t>ul. Stefana Żeromskiego</t>
  </si>
  <si>
    <t>poradnia.edukacja@wp.pl</t>
  </si>
  <si>
    <t>NIEPUBLICZNA PORADNIA PSYCHOLOGICZNO-PEDAGOGICZNA "EDUMED"</t>
  </si>
  <si>
    <t>ul. Kurpiowska</t>
  </si>
  <si>
    <t>NIEPUBLICZNA PORADNIA PSYCHOLOGICZNO-PEDAGOGICZNA "EMEDEA"</t>
  </si>
  <si>
    <t>ul. Bosa</t>
  </si>
  <si>
    <t>orewemedea@emedea.pl</t>
  </si>
  <si>
    <t>NIEPUBLICZNA PORADNIA PSYCHOLOGICZNO-PEDAGOGICZNA "EMPATIA" W OLSZTYNIE</t>
  </si>
  <si>
    <t>ul. Wyzwolenia</t>
  </si>
  <si>
    <t>sekretariat@e-instytut.com.pl</t>
  </si>
  <si>
    <t>NIEPUBLICZNA PORADNIA PSYCHOLOGICZNO-PEDAGOGICZNA "EUMED"</t>
  </si>
  <si>
    <t>Komorniki</t>
  </si>
  <si>
    <t>Wiry</t>
  </si>
  <si>
    <t>ul. Komornicka</t>
  </si>
  <si>
    <t>e.u.med@wp.pl</t>
  </si>
  <si>
    <t>Puszczykowo</t>
  </si>
  <si>
    <t>NIEPUBLICZNA PORADNIA PSYCHOLOGICZNO-PEDAGOGICZNA "FABRYCZKA SZCZĘŚCIA"</t>
  </si>
  <si>
    <t>buski</t>
  </si>
  <si>
    <t>Busko-Zdrój</t>
  </si>
  <si>
    <t>ul. Bohaterów Warszawy</t>
  </si>
  <si>
    <t>kontakt@fabryczkaszczescia.pl</t>
  </si>
  <si>
    <t>NIEPUBLICZNA PORADNIA PSYCHOLOGICZNO-PEDAGOGICZNA "FILII"</t>
  </si>
  <si>
    <t>ul. Legionów</t>
  </si>
  <si>
    <t>kontakt@filii.pl</t>
  </si>
  <si>
    <t>NIEPUBLICZNA PORADNIA PSYCHOLOGICZNO-PEDAGOGICZNA "GADASIE"</t>
  </si>
  <si>
    <t>ul. Stanisława Dąbka</t>
  </si>
  <si>
    <t>infogadasie@gmail.com</t>
  </si>
  <si>
    <t>NIEPUBLICZNA PORADNIA PSYCHOLOGICZNO-PEDAGOGICZNA "GADUŁKA" W RZESZOWIE</t>
  </si>
  <si>
    <t>ul. Strażacka</t>
  </si>
  <si>
    <t>NIEPUBLICZNA PORADNIA PSYCHOLOGICZNO-PEDAGOGICZNA "HAPPY KIDS"</t>
  </si>
  <si>
    <t>Orzesze</t>
  </si>
  <si>
    <t>ul. Żorska</t>
  </si>
  <si>
    <t>platkisniegu@op.pl</t>
  </si>
  <si>
    <t>NIEPUBLICZNA PORADNIA PSYCHOLOGICZNO-PEDAGOGICZNA "HUŚTAWKA GRODZISK"</t>
  </si>
  <si>
    <t>kontakt@hustawka.edu.pl</t>
  </si>
  <si>
    <t>NIEPUBLICZNA PORADNIA PSYCHOLOGICZNO-PEDAGOGICZNA "INSTYTUT EFEKTYWNEJ NAUKI" W LUBLINIE</t>
  </si>
  <si>
    <t>ul. Tadeusza Jacyny-Onyszkiewicza</t>
  </si>
  <si>
    <t>poradniaien@wp.pl</t>
  </si>
  <si>
    <t>NIEPUBLICZNA PORADNIA PSYCHOLOGICZNO-PEDAGOGICZNA "INTEGRA" W LUBLINIE</t>
  </si>
  <si>
    <t>ul. Dziewanny</t>
  </si>
  <si>
    <t>info@integra.lublin.pl</t>
  </si>
  <si>
    <t>NIEPUBLICZNA PORADNIA PSYCHOLOGICZNO-PEDAGOGICZNA "JAŚ I MAŁGOSIA"</t>
  </si>
  <si>
    <t>ul. Dworkowa</t>
  </si>
  <si>
    <t>ul. Boh. Warszawy</t>
  </si>
  <si>
    <t>sławieński</t>
  </si>
  <si>
    <t>Darłowo</t>
  </si>
  <si>
    <t>ul. Pocztowa</t>
  </si>
  <si>
    <t>drawski</t>
  </si>
  <si>
    <t>Czaplinek</t>
  </si>
  <si>
    <t>pl. Kolegiacki</t>
  </si>
  <si>
    <t>NIEPUBLICZNA PORADNIA PSYCHOLOGICZNO-PEDAGOGICZNA "JAŚ I MAŁGOSIA" W BIAŁYMSTOKU</t>
  </si>
  <si>
    <t>ul. Świętego Rocha</t>
  </si>
  <si>
    <t>NIEPUBLICZNA PORADNIA PSYCHOLOGICZNO-PEDAGOGICZNA "KANGUREK" W JÓZEFOWIE</t>
  </si>
  <si>
    <t>Józefów</t>
  </si>
  <si>
    <t>ul. Graniczna</t>
  </si>
  <si>
    <t>poradnia@centrumterapiiswiatek.pl</t>
  </si>
  <si>
    <t>NIEPUBLICZNA PORADNIA PSYCHOLOGICZNO-PEDAGOGICZNA "KLIPS"</t>
  </si>
  <si>
    <t>poradniaklips@autyzmpomoc.org</t>
  </si>
  <si>
    <t>NIEPUBLICZNA PORADNIA PSYCHOLOGICZNO-PEDAGOGICZNA "KOMPAS"</t>
  </si>
  <si>
    <t>ul. Traktorzystów</t>
  </si>
  <si>
    <t>kontakt@poradniakompas.pl</t>
  </si>
  <si>
    <t>NIEPUBLICZNA PORADNIA PSYCHOLOGICZNO-PEDAGOGICZNA "KONICZYNKA" W SZCZECINIE</t>
  </si>
  <si>
    <t>al. Bohaterów Warszawy</t>
  </si>
  <si>
    <t>fund.prom.zdrowia@wp.pl</t>
  </si>
  <si>
    <t>NIEPUBLICZNA PORADNIA PSYCHOLOGICZNO-PEDAGOGICZNA "KONSYLIUM"</t>
  </si>
  <si>
    <t>ul. Władysława Podkowińskiego</t>
  </si>
  <si>
    <t>konsylium@wp.pl</t>
  </si>
  <si>
    <t>koniński</t>
  </si>
  <si>
    <t>NIEPUBLICZNA PORADNIA PSYCHOLOGICZNO-PEDAGOGICZNA "KONWALIOWA"</t>
  </si>
  <si>
    <t>ul. Jana Kowalczyka</t>
  </si>
  <si>
    <t>k.klajn@konwaliowa.pl</t>
  </si>
  <si>
    <t>NIEPUBLICZNA PORADNIA PSYCHOLOGICZNO-PEDAGOGICZNA "KRASNAL"</t>
  </si>
  <si>
    <t>kontakt@spor-t.pl</t>
  </si>
  <si>
    <t>NIEPUBLICZNA PORADNIA PSYCHOLOGICZNO-PEDAGOGICZNA "KROPKA"</t>
  </si>
  <si>
    <t>żyrardowski</t>
  </si>
  <si>
    <t>Żyrardów</t>
  </si>
  <si>
    <t>NIEPUBLICZNA PORADNIA PSYCHOLOGICZNO-PEDAGOGICZNA "LAMIA"</t>
  </si>
  <si>
    <t>ul. Mgielna</t>
  </si>
  <si>
    <t>NIEPUBLICZNA PORADNIA PSYCHOLOGICZNO-PEDAGOGICZNA "LIBERI"</t>
  </si>
  <si>
    <t>ul. św. Jana</t>
  </si>
  <si>
    <t>oditer.pl@gmail.com</t>
  </si>
  <si>
    <t>NIEPUBLICZNA PORADNIA PSYCHOLOGICZNO-PEDAGOGICZNA "LILIUM"</t>
  </si>
  <si>
    <t>ul. Dereniowa</t>
  </si>
  <si>
    <t>joanna.pielacha@icloud.com</t>
  </si>
  <si>
    <t>Wawer</t>
  </si>
  <si>
    <t>NIEPUBLICZNA PORADNIA PSYCHOLOGICZNO-PEDAGOGICZNA "LOGOS"</t>
  </si>
  <si>
    <t>oleśnicki</t>
  </si>
  <si>
    <t>Oleśnica</t>
  </si>
  <si>
    <t>ul. Ignacego Paderewskiego</t>
  </si>
  <si>
    <t>lena142@wp.pl</t>
  </si>
  <si>
    <t>NIEPUBLICZNA PORADNIA PSYCHOLOGICZNO-PEDAGOGICZNA "LOGOSENS"</t>
  </si>
  <si>
    <t>ul. Chmieleniec</t>
  </si>
  <si>
    <t>logosens.krakow@gmail.com</t>
  </si>
  <si>
    <t>NIEPUBLICZNA PORADNIA PSYCHOLOGICZNO-PEDAGOGICZNA "MALI I DUZI"</t>
  </si>
  <si>
    <t>ul. Dzieci Warszawy</t>
  </si>
  <si>
    <t>m.chachon@wp.pl</t>
  </si>
  <si>
    <t>Włochy</t>
  </si>
  <si>
    <t>NIEPUBLICZNA PORADNIA PSYCHOLOGICZNO-PEDAGOGICZNA "MALUSZEK"</t>
  </si>
  <si>
    <t>os. Władysława Łokietka</t>
  </si>
  <si>
    <t>NIEPUBLICZNA PORADNIA PSYCHOLOGICZNO-PEDAGOGICZNA "MAŁY KRÓL"</t>
  </si>
  <si>
    <t>gdański</t>
  </si>
  <si>
    <t>Pruszcz Gdański</t>
  </si>
  <si>
    <t>ul. Cyprysowa</t>
  </si>
  <si>
    <t>dyrektorporadniaamalykrol@o2.pl</t>
  </si>
  <si>
    <t>NIEPUBLICZNA PORADNIA PSYCHOLOGICZNO-PEDAGOGICZNA "MAŁY PIESEK ZUZI"</t>
  </si>
  <si>
    <t>ul. Kazimierza Jarochowskiego</t>
  </si>
  <si>
    <t>NIEPUBLICZNA PORADNIA PSYCHOLOGICZNO-PEDAGOGICZNA "MARYSIA"</t>
  </si>
  <si>
    <t>myszkowski</t>
  </si>
  <si>
    <t>Myszków</t>
  </si>
  <si>
    <t>ul. 3 Maja</t>
  </si>
  <si>
    <t>centrum.terapii.marysia@op.pl</t>
  </si>
  <si>
    <t>zawierciański</t>
  </si>
  <si>
    <t>Zawiercie</t>
  </si>
  <si>
    <t>NIEPUBLICZNA PORADNIA PSYCHOLOGICZNO-PEDAGOGICZNA "MEDINCUS" W RZESZOWIE</t>
  </si>
  <si>
    <t>NIEPUBLICZNA PORADNIA PSYCHOLOGICZNO-PEDAGOGICZNA "MERITUM"</t>
  </si>
  <si>
    <t>ul. Mjr Henryka Hubala-Dobrzańskiego</t>
  </si>
  <si>
    <t>centrum@fundacjameritum.com</t>
  </si>
  <si>
    <t>NIEPUBLICZNA PORADNIA PSYCHOLOGICZNO-PEDAGOGICZNA "NA SKAŁCE"</t>
  </si>
  <si>
    <t>Bukowno</t>
  </si>
  <si>
    <t>ul. Kolejowa</t>
  </si>
  <si>
    <t>stowarzyszenie@rsm.olkusz.pl</t>
  </si>
  <si>
    <t>NIEPUBLICZNA PORADNIA PSYCHOLOGICZNO-PEDAGOGICZNA "NASZ DOMEK"</t>
  </si>
  <si>
    <t>ul. Małej Żabki</t>
  </si>
  <si>
    <t>naszdomek.biuro@gmail.com</t>
  </si>
  <si>
    <t>NIEPUBLICZNA PORADNIA PSYCHOLOGICZNO-PEDAGOGICZNA "NASZ ŚWIAT"</t>
  </si>
  <si>
    <t>trzebnicki</t>
  </si>
  <si>
    <t>Trzebnica</t>
  </si>
  <si>
    <t>ul. Ignacego Daszyńskiego</t>
  </si>
  <si>
    <t>biuro@naszswiat.org</t>
  </si>
  <si>
    <t>NIEPUBLICZNA PORADNIA PSYCHOLOGICZNO-PEDAGOGICZNA "NASZ ŚWIAT" NR 2</t>
  </si>
  <si>
    <t>ul. Litewska</t>
  </si>
  <si>
    <t>NIEPUBLICZNA PORADNIA PSYCHOLOGICZNO-PEDAGOGICZNA "NASZA KLINIKA"</t>
  </si>
  <si>
    <t>warszawski zachodni</t>
  </si>
  <si>
    <t>Ożarów Mazowiecki</t>
  </si>
  <si>
    <t>ul. Romana Dmowskiego</t>
  </si>
  <si>
    <t>NIEPUBLICZNA PORADNIA PSYCHOLOGICZNO-PEDAGOGICZNA "NEURO-REH AGATA ZAKONEK"</t>
  </si>
  <si>
    <t>świdwiński</t>
  </si>
  <si>
    <t>Świdwin</t>
  </si>
  <si>
    <t>ul. Drawska</t>
  </si>
  <si>
    <t>neurorehzakonek@gmail.com</t>
  </si>
  <si>
    <t>NIEPUBLICZNA PORADNIA PSYCHOLOGICZNO-PEDAGOGICZNA "NEURONIS" AGNIESZKA KOWALCZYK</t>
  </si>
  <si>
    <t>ul. Jutrzenki</t>
  </si>
  <si>
    <t>centrum@neuronis.pl</t>
  </si>
  <si>
    <t>NIEPUBLICZNA PORADNIA PSYCHOLOGICZNO-PEDAGOGICZNA "NEURONUS"</t>
  </si>
  <si>
    <t>ul. Pucka</t>
  </si>
  <si>
    <t>neuronus.wejherowo@gmail.com</t>
  </si>
  <si>
    <t>NIEPUBLICZNA PORADNIA PSYCHOLOGICZNO-PEDAGOGICZNA "NIEBIESKA SPRĘŻYNKA"</t>
  </si>
  <si>
    <t>ul. Batalionów Chłopskich</t>
  </si>
  <si>
    <t>kontakt@niebieskasprezynka.pl</t>
  </si>
  <si>
    <t>NIEPUBLICZNA PORADNIA PSYCHOLOGICZNO-PEDAGOGICZNA "NIKOŚ"</t>
  </si>
  <si>
    <t>gnieźnieński</t>
  </si>
  <si>
    <t>Gniezno</t>
  </si>
  <si>
    <t>ul. Grzybowo</t>
  </si>
  <si>
    <t>npppng.4@wp.pl</t>
  </si>
  <si>
    <t>NIEPUBLICZNA PORADNIA PSYCHOLOGICZNO-PEDAGOGICZNA "NUTKA"</t>
  </si>
  <si>
    <t>Pogórze</t>
  </si>
  <si>
    <t>ul. Majakowskiego</t>
  </si>
  <si>
    <t>przedszkole-nutka@wp.pl</t>
  </si>
  <si>
    <t>NIEPUBLICZNA PORADNIA PSYCHOLOGICZNO-PEDAGOGICZNA "OBLICZA ŻYCIA"</t>
  </si>
  <si>
    <t>ul. Andrzeja Drętkiewicza</t>
  </si>
  <si>
    <t>biuro@obliczazycia.pl</t>
  </si>
  <si>
    <t>NIEPUBLICZNA PORADNIA PSYCHOLOGICZNO-PEDAGOGICZNA "ODITIS"</t>
  </si>
  <si>
    <t>ul. Matemblewska</t>
  </si>
  <si>
    <t>oditis@wp.pl</t>
  </si>
  <si>
    <t>NIEPUBLICZNA PORADNIA PSYCHOLOGICZNO-PEDAGOGICZNA "OKNO NA ŚWIAT"</t>
  </si>
  <si>
    <t>wodzisławski</t>
  </si>
  <si>
    <t>Wodzisław Śląski</t>
  </si>
  <si>
    <t>ul. Przemysława</t>
  </si>
  <si>
    <t>aleksandra.staniek@onet.pl</t>
  </si>
  <si>
    <t>NIEPUBLICZNA PORADNIA PSYCHOLOGICZNO-PEDAGOGICZNA "ORTUS" W GARWOLINIE</t>
  </si>
  <si>
    <t>garwoliński</t>
  </si>
  <si>
    <t>Garwolin</t>
  </si>
  <si>
    <t>agnieszkanowak@osrodekortus.pl</t>
  </si>
  <si>
    <t>NIEPUBLICZNA PORADNIA PSYCHOLOGICZNO-PEDAGOGICZNA "OŚRODEK ZDROWIA I ROZWOJU CZŁOWIEKA TERAPIA"</t>
  </si>
  <si>
    <t>ul. Kłodnicka</t>
  </si>
  <si>
    <t>nppp@terapia.slask.pl</t>
  </si>
  <si>
    <t>NIEPUBLICZNA PORADNIA PSYCHOLOGICZNO-PEDAGOGICZNA "OTIS" W GDYNI</t>
  </si>
  <si>
    <t>ul. Harcerska</t>
  </si>
  <si>
    <t>szkolenia@psonigdynia.pl</t>
  </si>
  <si>
    <t>NIEPUBLICZNA PORADNIA PSYCHOLOGICZNO-PEDAGOGICZNA "P(R)OMOC"</t>
  </si>
  <si>
    <t>Legnica</t>
  </si>
  <si>
    <t>ul. Gwiezdna</t>
  </si>
  <si>
    <t>agatabar72@wp.pl</t>
  </si>
  <si>
    <t>NIEPUBLICZNA PORADNIA PSYCHOLOGICZNO-PEDAGOGICZNA "PCTS" W LUBLINIE</t>
  </si>
  <si>
    <t>pcts@pcts.pl</t>
  </si>
  <si>
    <t>NIEPUBLICZNA PORADNIA PSYCHOLOGICZNO-PEDAGOGICZNA "PLECIUGA" W OPOCZNIE</t>
  </si>
  <si>
    <t>opoczyński</t>
  </si>
  <si>
    <t>Opoczno</t>
  </si>
  <si>
    <t>ul. Partyzantów</t>
  </si>
  <si>
    <t>biuro@poradniapleciuga.pl</t>
  </si>
  <si>
    <t>NIEPUBLICZNA PORADNIA PSYCHOLOGICZNO-PEDAGOGICZNA "POD PARASOLEM"</t>
  </si>
  <si>
    <t>ul. Szczecińska</t>
  </si>
  <si>
    <t>sak-med@o2.pl</t>
  </si>
  <si>
    <t>NIEPUBLICZNA PORADNIA PSYCHOLOGICZNO-PEDAGOGICZNA "PODKARPACIAK"</t>
  </si>
  <si>
    <t>ul. Waniliowa</t>
  </si>
  <si>
    <t>ewa.baran@poradniarzeszow.pl</t>
  </si>
  <si>
    <t>NIEPUBLICZNA PORADNIA PSYCHOLOGICZNO-PEDAGOGICZNA "POLANKA"</t>
  </si>
  <si>
    <t>Kicin</t>
  </si>
  <si>
    <t>fundacjaporananas@gmail.com</t>
  </si>
  <si>
    <t>NIEPUBLICZNA PORADNIA PSYCHOLOGICZNO-PEDAGOGICZNA "POMÓŻ ZROZUMIEĆ"</t>
  </si>
  <si>
    <t>ul. Wojciecha Bogusławskiego</t>
  </si>
  <si>
    <t>dorota@pomozzrozumiec.pl</t>
  </si>
  <si>
    <t>NIEPUBLICZNA PORADNIA PSYCHOLOGICZNO-PEDAGOGICZNA "PORADIS" Z SIEDZIBĄ W WARSZAWIE</t>
  </si>
  <si>
    <t>ul. Warowna</t>
  </si>
  <si>
    <t>NIEPUBLICZNA PORADNIA PSYCHOLOGICZNO-PEDAGOGICZNA "PORADNIA DZIECKA.PL"</t>
  </si>
  <si>
    <t>tarnogórski</t>
  </si>
  <si>
    <t>Tarnowskie Góry</t>
  </si>
  <si>
    <t>ul. Opatowicka</t>
  </si>
  <si>
    <t>info@poradniadziecka.pl</t>
  </si>
  <si>
    <t>Kalety</t>
  </si>
  <si>
    <t>NIEPUBLICZNA PORADNIA PSYCHOLOGICZNO-PEDAGOGICZNA "PORADNIA WCZESNEJ INTERWENCJI"</t>
  </si>
  <si>
    <t>ul. Drukarska</t>
  </si>
  <si>
    <t>dpamulandt@gmail.com</t>
  </si>
  <si>
    <t>NIEPUBLICZNA PORADNIA PSYCHOLOGICZNO-PEDAGOGICZNA "POWIEMY TO" IM. SŁAWOMIRA CHMIELEWSKIEGO W LUBLINIE</t>
  </si>
  <si>
    <t>ul. Prezydenta Gabriela Narutowicza</t>
  </si>
  <si>
    <t>fundacja@powiemyto.pl</t>
  </si>
  <si>
    <t>NIEPUBLICZNA PORADNIA PSYCHOLOGICZNO-PEDAGOGICZNA "PRO-MED"</t>
  </si>
  <si>
    <t>Wrocław-Stare Miasto</t>
  </si>
  <si>
    <t>ul. Gwarna</t>
  </si>
  <si>
    <t>poradnia@pro-med.pl</t>
  </si>
  <si>
    <t>NIEPUBLICZNA PORADNIA PSYCHOLOGICZNO-PEDAGOGICZNA "PRO-VOBIS"</t>
  </si>
  <si>
    <t>Starogard Gdański</t>
  </si>
  <si>
    <t>NIEPUBLICZNA PORADNIA PSYCHOLOGICZNO-PEDAGOGICZNA "PROGRESJA"</t>
  </si>
  <si>
    <t>ul. Juranda ze Spychowa</t>
  </si>
  <si>
    <t>NIEPUBLICZNA PORADNIA PSYCHOLOGICZNO-PEDAGOGICZNA "PROGRESSO"</t>
  </si>
  <si>
    <t>Radzymin</t>
  </si>
  <si>
    <t>progressoradzymin@o2.pl</t>
  </si>
  <si>
    <t>NIEPUBLICZNA PORADNIA PSYCHOLOGICZNO-PEDAGOGICZNA "PROMYCZEK"</t>
  </si>
  <si>
    <t>ul. Kołobrzeska</t>
  </si>
  <si>
    <t>kontakt@radosnedzieci.org.pl</t>
  </si>
  <si>
    <t>wadowicki</t>
  </si>
  <si>
    <t>Andrychów</t>
  </si>
  <si>
    <t>ul. Starowiejska</t>
  </si>
  <si>
    <t>mpporaj@gmail.com</t>
  </si>
  <si>
    <t>promyczek.kalety@gmail.com</t>
  </si>
  <si>
    <t>Piekary Śląskie</t>
  </si>
  <si>
    <t>NIEPUBLICZNA PORADNIA PSYCHOLOGICZNO-PEDAGOGICZNA "PRYMUS" W GORLICACH</t>
  </si>
  <si>
    <t>gorlicki</t>
  </si>
  <si>
    <t>Gorlice</t>
  </si>
  <si>
    <t>ul. Biecka</t>
  </si>
  <si>
    <t>poradnia@npprymus.pl</t>
  </si>
  <si>
    <t>NIEPUBLICZNA PORADNIA PSYCHOLOGICZNO-PEDAGOGICZNA "PRZYJAZNA DŁOŃ" W ŻARACH</t>
  </si>
  <si>
    <t>ul. Podwale</t>
  </si>
  <si>
    <t>NIEPUBLICZNA PORADNIA PSYCHOLOGICZNO-PEDAGOGICZNA "QPSYCHE"</t>
  </si>
  <si>
    <t>ul. Lazurowa</t>
  </si>
  <si>
    <t>kontakt.qpsyche@gmail.com</t>
  </si>
  <si>
    <t>NIEPUBLICZNA PORADNIA PSYCHOLOGICZNO-PEDAGOGICZNA "RAZEM"</t>
  </si>
  <si>
    <t>Łódź-Śródmieście</t>
  </si>
  <si>
    <t>biuro@crie.pl</t>
  </si>
  <si>
    <t>NIEPUBLICZNA PORADNIA PSYCHOLOGICZNO-PEDAGOGICZNA "RAZEM" MAGDALENA ZAPAŁ</t>
  </si>
  <si>
    <t>ul. Jana Pawła II</t>
  </si>
  <si>
    <t>kontakt@razemporadnia.pl</t>
  </si>
  <si>
    <t>Nowa Ruda</t>
  </si>
  <si>
    <t>NIEPUBLICZNA PORADNIA PSYCHOLOGICZNO-PEDAGOGICZNA "RÓWNE SZANSE"</t>
  </si>
  <si>
    <t>ul. Frezjowa</t>
  </si>
  <si>
    <t>jbunk@wp.pl</t>
  </si>
  <si>
    <t>Tarnowo Podgórne</t>
  </si>
  <si>
    <t>NIEPUBLICZNA PORADNIA PSYCHOLOGICZNO-PEDAGOGICZNA "ROZWIJAJ SKRZYDŁA"</t>
  </si>
  <si>
    <t>Łomianki</t>
  </si>
  <si>
    <t>ul. Równa</t>
  </si>
  <si>
    <t>renata.rejer@moja-szkola.org</t>
  </si>
  <si>
    <t>NIEPUBLICZNA PORADNIA PSYCHOLOGICZNO-PEDAGOGICZNA "SEMAFOR"</t>
  </si>
  <si>
    <t>sieradzki</t>
  </si>
  <si>
    <t>Sieradz</t>
  </si>
  <si>
    <t>ul. Spółdzielcza</t>
  </si>
  <si>
    <t>biuro.fundacja.semafor@gmail.com</t>
  </si>
  <si>
    <t>NIEPUBLICZNA PORADNIA PSYCHOLOGICZNO-PEDAGOGICZNA "SENSIS" W BYDGOSZCZY</t>
  </si>
  <si>
    <t>ul. Bronisława Potockiego</t>
  </si>
  <si>
    <t>a.michalska83@wp.pl</t>
  </si>
  <si>
    <t>NIEPUBLICZNA PORADNIA PSYCHOLOGICZNO-PEDAGOGICZNA "SENSO" W OSIELSKU</t>
  </si>
  <si>
    <t>bydgoski</t>
  </si>
  <si>
    <t>Osielsko</t>
  </si>
  <si>
    <t>ul. Tapicerska</t>
  </si>
  <si>
    <t>info@poradnia-senso.pl</t>
  </si>
  <si>
    <t>NIEPUBLICZNA PORADNIA PSYCHOLOGICZNO-PEDAGOGICZNA "SENSORAKI KOMINIAKI"</t>
  </si>
  <si>
    <t>ul. Stanisława Dubois</t>
  </si>
  <si>
    <t>m.koralewska@krzywykomin.pl</t>
  </si>
  <si>
    <t>NIEPUBLICZNA PORADNIA PSYCHOLOGICZNO-PEDAGOGICZNA "SENSOTEKA"</t>
  </si>
  <si>
    <t>ul. Piastowska</t>
  </si>
  <si>
    <t>poradnia.sensoteka@gmail.com</t>
  </si>
  <si>
    <t>Długołęka</t>
  </si>
  <si>
    <t>NIEPUBLICZNA PORADNIA PSYCHOLOGICZNO-PEDAGOGICZNA "SKRZYDŁA"</t>
  </si>
  <si>
    <t>Zbylitowska Góra</t>
  </si>
  <si>
    <t>ul. Sportowa</t>
  </si>
  <si>
    <t>msimajchel@gmail.com</t>
  </si>
  <si>
    <t>NIEPUBLICZNA PORADNIA PSYCHOLOGICZNO-PEDAGOGICZNA "SOFIA" W PIOTRKOWIE TRYBUNALSKIM</t>
  </si>
  <si>
    <t>biuro@poradniasofia-piotrkow.pl</t>
  </si>
  <si>
    <t>NIEPUBLICZNA PORADNIA PSYCHOLOGICZNO-PEDAGOGICZNA "SPOKOJNA GŁÓWKA"</t>
  </si>
  <si>
    <t>abrzozka81@gmail.com</t>
  </si>
  <si>
    <t>NIEPUBLICZNA PORADNIA PSYCHOLOGICZNO-PEDAGOGICZNA "ŚWIĘTOKRZYSKA" W SKARŻYSKU-KAMIENNEJ</t>
  </si>
  <si>
    <t>skarżyski</t>
  </si>
  <si>
    <t>Skarżysko-Kamienna</t>
  </si>
  <si>
    <t>ul. Mickiewicza</t>
  </si>
  <si>
    <t>NIEPUBLICZNA PORADNIA PSYCHOLOGICZNO-PEDAGOGICZNA "TACY SAMI"</t>
  </si>
  <si>
    <t>Wesoła</t>
  </si>
  <si>
    <t>ul. Pogodna</t>
  </si>
  <si>
    <t>biuro@tacysami.com.pl</t>
  </si>
  <si>
    <t>NIEPUBLICZNA PORADNIA PSYCHOLOGICZNO-PEDAGOGICZNA "TERAPEUTYCZNE POLA"</t>
  </si>
  <si>
    <t>śremski</t>
  </si>
  <si>
    <t>Śrem</t>
  </si>
  <si>
    <t>ul. Racławicka</t>
  </si>
  <si>
    <t>centrumpomocypsycholog@wp.pl</t>
  </si>
  <si>
    <t>NIEPUBLICZNA PORADNIA PSYCHOLOGICZNO-PEDAGOGICZNA "TERSEN"</t>
  </si>
  <si>
    <t>ul. Julianowska</t>
  </si>
  <si>
    <t>sekretariat@jedynka-julianow.pl</t>
  </si>
  <si>
    <t>NIEPUBLICZNA PORADNIA PSYCHOLOGICZNO-PEDAGOGICZNA "TITUM" W RZESZOWIE</t>
  </si>
  <si>
    <t>ul. Stanisława Wyspiańskiego</t>
  </si>
  <si>
    <t>biuro@titum.pl</t>
  </si>
  <si>
    <t>NIEPUBLICZNA PORADNIA PSYCHOLOGICZNO-PEDAGOGICZNA "TRAMPOLINA" W LUBLINIE</t>
  </si>
  <si>
    <t>ul. Zygmunta Krasińskiego</t>
  </si>
  <si>
    <t>biuro@poradniatrampolina.pl</t>
  </si>
  <si>
    <t>lubelski</t>
  </si>
  <si>
    <t>NIEPUBLICZNA PORADNIA PSYCHOLOGICZNO-PEDAGOGICZNA "UMYSŁ DZIECKA"</t>
  </si>
  <si>
    <t>ul. Grupy AK "Północ"</t>
  </si>
  <si>
    <t>ludwik@szpakowski.eu</t>
  </si>
  <si>
    <t>NIEPUBLICZNA PORADNIA PSYCHOLOGICZNO-PEDAGOGICZNA "UWAŻNE LUDKI"</t>
  </si>
  <si>
    <t>uwazne.ludki@gmail.com</t>
  </si>
  <si>
    <t>NIEPUBLICZNA PORADNIA PSYCHOLOGICZNO-PEDAGOGICZNA "WCF" W POZNANIU</t>
  </si>
  <si>
    <t>os. Lecha</t>
  </si>
  <si>
    <t>dzieci@wcf.com.pl</t>
  </si>
  <si>
    <t>NIEPUBLICZNA PORADNIA PSYCHOLOGICZNO-PEDAGOGICZNA "WCF" W TURKU</t>
  </si>
  <si>
    <t>turecki</t>
  </si>
  <si>
    <t>Turek</t>
  </si>
  <si>
    <t>ul. Korytkowska</t>
  </si>
  <si>
    <t>NIEPUBLICZNA PORADNIA PSYCHOLOGICZNO-PEDAGOGICZNA "WIEDZA"</t>
  </si>
  <si>
    <t>poradniawiedza.warszawa@wp.pl</t>
  </si>
  <si>
    <t>NIEPUBLICZNA PORADNIA PSYCHOLOGICZNO-PEDAGOGICZNA "WSPARCIE RODZICA" W KRAKOWIE</t>
  </si>
  <si>
    <t>ul. Królowej Jadwigi</t>
  </si>
  <si>
    <t>ws@idea.info.pl</t>
  </si>
  <si>
    <t>NIEPUBLICZNA PORADNIA PSYCHOLOGICZNO-PEDAGOGICZNA "WYSPA"</t>
  </si>
  <si>
    <t>ul. Kartuska</t>
  </si>
  <si>
    <t>recepcja@olicon.pl</t>
  </si>
  <si>
    <t>NIEPUBLICZNA PORADNIA PSYCHOLOGICZNO-PEDAGOGICZNA "WYSPA" CENTRUM REHABILITACJI I TERAPII DZIECI I MŁODZIEŻY</t>
  </si>
  <si>
    <t>ul. Spacerowa</t>
  </si>
  <si>
    <t>info@wyspa-centrum.pl</t>
  </si>
  <si>
    <t>NIEPUBLICZNA PORADNIA PSYCHOLOGICZNO-PEDAGOGICZNA "ZAKĄTEK AGI" W GDYNI</t>
  </si>
  <si>
    <t>ul. Deszczowa</t>
  </si>
  <si>
    <t>kontakt@zakatekagi.pl</t>
  </si>
  <si>
    <t>NIEPUBLICZNA PORADNIA PSYCHOLOGICZNO-PEDAGOGICZNA "ZIELONY BALONIK"</t>
  </si>
  <si>
    <t>poradniazielonybalonik@wp.pl</t>
  </si>
  <si>
    <t>Targówek</t>
  </si>
  <si>
    <t>NIEPUBLICZNA PORADNIA PSYCHOLOGICZNO-PEDAGOGICZNA „BILINGWO”</t>
  </si>
  <si>
    <t>ul. Polanka</t>
  </si>
  <si>
    <t>sekretariat@bilingwo.org</t>
  </si>
  <si>
    <t>NIEPUBLICZNA PORADNIA PSYCHOLOGICZNO-PEDAGOGICZNA „MY FUTURE” W KIELCACH</t>
  </si>
  <si>
    <t>ul. Daleka</t>
  </si>
  <si>
    <t>patrycja.osman@gmail.com</t>
  </si>
  <si>
    <t>NIEPUBLICZNA PORADNIA PSYCHOLOGICZNO-PEDAGOGICZNA „POMOCNA DŁOŃ” W KIELCACH</t>
  </si>
  <si>
    <t>ul. Majora Jana Piwnika "Ponurego"</t>
  </si>
  <si>
    <t>poradnia@stsw.edu.pl</t>
  </si>
  <si>
    <t>NIEPUBLICZNA PORADNIA PSYCHOLOGICZNO-PEDAGOGICZNA „PROMYK” W BYDGOSZCZY</t>
  </si>
  <si>
    <t>ul. Modrakowa</t>
  </si>
  <si>
    <t>biuro@promyk.co</t>
  </si>
  <si>
    <t>NIEPUBLICZNA PORADNIA PSYCHOLOGICZNO-PEDAGOGICZNA „ŚWIĘTOKRZYSKA”</t>
  </si>
  <si>
    <t>ul. Starodomaszowska</t>
  </si>
  <si>
    <t>NIEPUBLICZNA PORADNIA PSYCHOLOGICZNO-PEDAGOGICZNA „WCZESNA INTERWENCJA”</t>
  </si>
  <si>
    <t>os. Na Stoku</t>
  </si>
  <si>
    <t>wczesna.interwencja@kielce.psoni.org.pl</t>
  </si>
  <si>
    <t>NIEPUBLICZNA PORADNIA PSYCHOLOGICZNO-PEDAGOGICZNA AB-BA</t>
  </si>
  <si>
    <t>centrum@poradnia-abba.pl</t>
  </si>
  <si>
    <t>NIEPUBLICZNA PORADNIA PSYCHOLOGICZNO-PEDAGOGICZNA ABC TERAPII DZIECKA</t>
  </si>
  <si>
    <t>ul. Jesionowa</t>
  </si>
  <si>
    <t>abcterapiidziecka@gmail.com</t>
  </si>
  <si>
    <t>NIEPUBLICZNA PORADNIA PSYCHOLOGICZNO-PEDAGOGICZNA ADA W BIAŁYMSTOKU</t>
  </si>
  <si>
    <t>biuro@poradnia-ada.pl</t>
  </si>
  <si>
    <t>NIEPUBLICZNA PORADNIA PSYCHOLOGICZNO-PEDAGOGICZNA AKADEMIA MALUCHA</t>
  </si>
  <si>
    <t>Mikołów</t>
  </si>
  <si>
    <t>ul. Paprotek</t>
  </si>
  <si>
    <t>sekretariat@fundacjaskarb.pl</t>
  </si>
  <si>
    <t>NIEPUBLICZNA PORADNIA PSYCHOLOGICZNO-PEDAGOGICZNA AKADEMIA NAUKI GLIWICE</t>
  </si>
  <si>
    <t>ul. Tadeusza Hoblera</t>
  </si>
  <si>
    <t>kontakt@akademiagliwice.pl</t>
  </si>
  <si>
    <t>NIEPUBLICZNA PORADNIA PSYCHOLOGICZNO-PEDAGOGICZNA AKADEMIA ROZWOJU</t>
  </si>
  <si>
    <t>ul. Józefa Konrada Korzeniowskiego</t>
  </si>
  <si>
    <t>a.szrubkowska@akademiarozwoju.com.pl</t>
  </si>
  <si>
    <t>NIEPUBLICZNA PORADNIA PSYCHOLOGICZNO-PEDAGOGICZNA ALA MA KOTA</t>
  </si>
  <si>
    <t>ul. Bronowska</t>
  </si>
  <si>
    <t>bronowska@alamakota.edu.pl</t>
  </si>
  <si>
    <t>NIEPUBLICZNA PORADNIA PSYCHOLOGICZNO-PEDAGOGICZNA ALLEGRO W BIAŁYMSTOKU</t>
  </si>
  <si>
    <t>ul. Witolda Sławińskiego</t>
  </si>
  <si>
    <t>poradniaallegro@wp.pl</t>
  </si>
  <si>
    <t>NIEPUBLICZNA PORADNIA PSYCHOLOGICZNO-PEDAGOGICZNA ANIA W JAŚLE</t>
  </si>
  <si>
    <t>jasielski</t>
  </si>
  <si>
    <t>Jasło</t>
  </si>
  <si>
    <t>ul. Grunwaldzka</t>
  </si>
  <si>
    <t>pppania1@wp.pl</t>
  </si>
  <si>
    <t>NIEPUBLICZNA PORADNIA PSYCHOLOGICZNO-PEDAGOGICZNA ANNA SALIJ-SZYSZKA</t>
  </si>
  <si>
    <t>niepublicznaporadniabielawa@wp.pl</t>
  </si>
  <si>
    <t>NIEPUBLICZNA PORADNIA PSYCHOLOGICZNO-PEDAGOGICZNA AURIS</t>
  </si>
  <si>
    <t>ul. Jerzego Bajana</t>
  </si>
  <si>
    <t>dyrektor@poradnia-auris.pl</t>
  </si>
  <si>
    <t>NIEPUBLICZNA PORADNIA PSYCHOLOGICZNO-PEDAGOGICZNA AWANS W KIELCACH</t>
  </si>
  <si>
    <t>ul. Helenówek</t>
  </si>
  <si>
    <t>miszczykandrzej@wp.pl</t>
  </si>
  <si>
    <t>NIEPUBLICZNA PORADNIA PSYCHOLOGICZNO-PEDAGOGICZNA BAZA</t>
  </si>
  <si>
    <t>ul. Chęcińska</t>
  </si>
  <si>
    <t>BazzaSI@outlook.com</t>
  </si>
  <si>
    <t>NIEPUBLICZNA PORADNIA PSYCHOLOGICZNO-PEDAGOGICZNA BLUE</t>
  </si>
  <si>
    <t>ul. Górna</t>
  </si>
  <si>
    <t>a.burdyka@interia.pl</t>
  </si>
  <si>
    <t>NIEPUBLICZNA PORADNIA PSYCHOLOGICZNO-PEDAGOGICZNA BYSTRZAKI W RZESZOWIE</t>
  </si>
  <si>
    <t>al. Tadeusza Rejtana</t>
  </si>
  <si>
    <t>bystrzakirzeszow@gmail.com</t>
  </si>
  <si>
    <t>łańcucki</t>
  </si>
  <si>
    <t>Łańcut</t>
  </si>
  <si>
    <t>NIEPUBLICZNA PORADNIA PSYCHOLOGICZNO-PEDAGOGICZNA CARPE DIEM</t>
  </si>
  <si>
    <t>centrum@carpediem.szczecin.pl</t>
  </si>
  <si>
    <t>NIEPUBLICZNA PORADNIA PSYCHOLOGICZNO-PEDAGOGICZNA CENTRUM DIAGNOSTYCZNO REHABILITACYJNE NEURO - THERA - MED</t>
  </si>
  <si>
    <t>biuro@neurotheramed.pl</t>
  </si>
  <si>
    <t>NIEPUBLICZNA PORADNIA PSYCHOLOGICZNO-PEDAGOGICZNA CENTRUM DIAGNOZY ORAZ TERAPII DZIECI, MŁODZIEŻY I DOROSŁYCH WYŻSZEJ SZKOŁY GOSPODARKI</t>
  </si>
  <si>
    <t>Sicienko</t>
  </si>
  <si>
    <t>Trzemiętowo</t>
  </si>
  <si>
    <t>NIEPUBLICZNA PORADNIA PSYCHOLOGICZNO-PEDAGOGICZNA CENTRUM DIAGNOZY, TERAPII I WSPOMAGANIA ROZWOJU</t>
  </si>
  <si>
    <t>Włocławek</t>
  </si>
  <si>
    <t>ul. Celulozowa</t>
  </si>
  <si>
    <t>ezj@noeedujetter.pl</t>
  </si>
  <si>
    <t>włocławski</t>
  </si>
  <si>
    <t>NIEPUBLICZNA PORADNIA PSYCHOLOGICZNO-PEDAGOGICZNA CENTRUM FIZJOTERAPII STATERA</t>
  </si>
  <si>
    <t>al. Aleja Wojciecha Korfantego</t>
  </si>
  <si>
    <t>ducagnieszka@gmail.com</t>
  </si>
  <si>
    <t>będziński</t>
  </si>
  <si>
    <t>Będzin</t>
  </si>
  <si>
    <t>NIEPUBLICZNA PORADNIA PSYCHOLOGICZNO-PEDAGOGICZNA CENTRUM INDYGO</t>
  </si>
  <si>
    <t>ul. Ostrobramska</t>
  </si>
  <si>
    <t>kontakt@centrumindygo.pl</t>
  </si>
  <si>
    <t>NIEPUBLICZNA PORADNIA PSYCHOLOGICZNO-PEDAGOGICZNA CENTRUM MAŁEGO CZŁOWIEKA</t>
  </si>
  <si>
    <t>ul. Romualda</t>
  </si>
  <si>
    <t>biuro@centrummalegoczlowieka.pl</t>
  </si>
  <si>
    <t>sandomierski</t>
  </si>
  <si>
    <t>NIEPUBLICZNA PORADNIA PSYCHOLOGICZNO-PEDAGOGICZNA CENTRUM ROZWOJU DZIECKA</t>
  </si>
  <si>
    <t>annakoziarska.neurologopeda@gmail.com</t>
  </si>
  <si>
    <t>Suchedniów</t>
  </si>
  <si>
    <t>NIEPUBLICZNA PORADNIA PSYCHOLOGICZNO-PEDAGOGICZNA CENTRUM ROZWOJU DZIECKA "PROMYK" W GRAJEWIE</t>
  </si>
  <si>
    <t>grajewski</t>
  </si>
  <si>
    <t>Grajewo</t>
  </si>
  <si>
    <t>poradnia.promyk@interia.pl</t>
  </si>
  <si>
    <t>NIEPUBLICZNA PORADNIA PSYCHOLOGICZNO-PEDAGOGICZNA CENTRUM ROZWOJU I TERAPII DZIECKA I RODZINY WOLA</t>
  </si>
  <si>
    <t>ul. Jana Kazimierza</t>
  </si>
  <si>
    <t>biuro@dzieckowterapii.pl</t>
  </si>
  <si>
    <t>NIEPUBLICZNA PORADNIA PSYCHOLOGICZNO-PEDAGOGICZNA CENTRUM SZKOLENIOWEGO "WIEDZA"</t>
  </si>
  <si>
    <t>Kramsk</t>
  </si>
  <si>
    <t>malgorzataszumska@interia.pl</t>
  </si>
  <si>
    <t>NIEPUBLICZNA PORADNIA PSYCHOLOGICZNO-PEDAGOGICZNA CENTRUM TERAPII DZIECI I WSPOMAGANIA ROZWOJU</t>
  </si>
  <si>
    <t>centrum.terapiadzieci@gmail.com</t>
  </si>
  <si>
    <t>NIEPUBLICZNA PORADNIA PSYCHOLOGICZNO-PEDAGOGICZNA CENTRUM TERAPII I ROZWOJU TERAPEUTIKA</t>
  </si>
  <si>
    <t>ul. Poborzańska</t>
  </si>
  <si>
    <t>poradniaterapeutika@gmail.com</t>
  </si>
  <si>
    <t>NIEPUBLICZNA PORADNIA PSYCHOLOGICZNO-PEDAGOGICZNA CENTRUM TERAPII PROMITIS</t>
  </si>
  <si>
    <t>ul. Giuseppe Garibaldiego</t>
  </si>
  <si>
    <t>biuro@centrum-terapii.pl</t>
  </si>
  <si>
    <t>al. Aleja Artura Grottgera</t>
  </si>
  <si>
    <t>krakow@centrum-terapii.pl</t>
  </si>
  <si>
    <t>NIEPUBLICZNA PORADNIA PSYCHOLOGICZNO-PEDAGOGICZNA CENTRUM WSPIERANIA ROZWOJU I REHABILITACJI</t>
  </si>
  <si>
    <t>kontakt@szkolaszczecinek.pl</t>
  </si>
  <si>
    <t>NIEPUBLICZNA PORADNIA PSYCHOLOGICZNO-PEDAGOGICZNA CENTRUM ZDROWIA</t>
  </si>
  <si>
    <t>ul. Kazimierza Pułaskiego</t>
  </si>
  <si>
    <t>s.bandziorowska@centrumzdrowia.com</t>
  </si>
  <si>
    <t>NIEPUBLICZNA PORADNIA PSYCHOLOGICZNO-PEDAGOGICZNA CET</t>
  </si>
  <si>
    <t>Kolbudy</t>
  </si>
  <si>
    <t>Kowale</t>
  </si>
  <si>
    <t>ul. Gruszkowa</t>
  </si>
  <si>
    <t>sekretariat@cet-edu.pl</t>
  </si>
  <si>
    <t>NIEPUBLICZNA PORADNIA PSYCHOLOGICZNO-PEDAGOGICZNA CKT "SPEKTRUM"</t>
  </si>
  <si>
    <t>poradnia.spektrum.edu@gmail.com</t>
  </si>
  <si>
    <t>NIEPUBLICZNA PORADNIA PSYCHOLOGICZNO-PEDAGOGICZNA COGITO</t>
  </si>
  <si>
    <t>zgorzelecki</t>
  </si>
  <si>
    <t>Zgorzelec</t>
  </si>
  <si>
    <t>NIEPUBLICZNA PORADNIA PSYCHOLOGICZNO-PEDAGOGICZNA DARY LOSU W SIERADZU</t>
  </si>
  <si>
    <t>ul. Władysława Warneńczyka</t>
  </si>
  <si>
    <t>stowarzyszenie@darylosu.org</t>
  </si>
  <si>
    <t>NIEPUBLICZNA PORADNIA PSYCHOLOGICZNO-PEDAGOGICZNA DEJA CSB</t>
  </si>
  <si>
    <t>Reda</t>
  </si>
  <si>
    <t>ul. Wejherowska</t>
  </si>
  <si>
    <t>dejacsb@dejacsb.com</t>
  </si>
  <si>
    <t>NIEPUBLICZNA PORADNIA PSYCHOLOGICZNO-PEDAGOGICZNA DLA DZIECI I MŁODZIEŻY</t>
  </si>
  <si>
    <t>ul. Filarecka</t>
  </si>
  <si>
    <t>nppkporadnia2@gmail.com</t>
  </si>
  <si>
    <t>NIEPUBLICZNA PORADNIA PSYCHOLOGICZNO-PEDAGOGICZNA DLA DZIECI I MŁODZIEŻY PRZY CENTRUM RODZINY W ŁOMIANKACH</t>
  </si>
  <si>
    <t>ul. Krzysztofa Kamila Baczyńskiego</t>
  </si>
  <si>
    <t>poradnia@fpr.pl</t>
  </si>
  <si>
    <t>NIEPUBLICZNA PORADNIA PSYCHOLOGICZNO-PEDAGOGICZNA DRIMTIM</t>
  </si>
  <si>
    <t>ul. dr. J. Kolińskiego</t>
  </si>
  <si>
    <t>poradnia@drim-tim.pl</t>
  </si>
  <si>
    <t>NIEPUBLICZNA PORADNIA PSYCHOLOGICZNO-PEDAGOGICZNA ECO-KIDS</t>
  </si>
  <si>
    <t>ul. Henryka Rodakowskiego</t>
  </si>
  <si>
    <t>alicjaagill@wp.pl</t>
  </si>
  <si>
    <t>NIEPUBLICZNA PORADNIA PSYCHOLOGICZNO-PEDAGOGICZNA EDUHIT</t>
  </si>
  <si>
    <t>ul. Wąwolnicka</t>
  </si>
  <si>
    <t>poradnia@eduhit.pl</t>
  </si>
  <si>
    <t>NIEPUBLICZNA PORADNIA PSYCHOLOGICZNO-PEDAGOGICZNA EDULAB</t>
  </si>
  <si>
    <t>Stare Babice</t>
  </si>
  <si>
    <t>ul. gen. Władysława Sikorskiego</t>
  </si>
  <si>
    <t>szkola@edulab.edu.pl</t>
  </si>
  <si>
    <t>NIEPUBLICZNA PORADNIA PSYCHOLOGICZNO-PEDAGOGICZNA EDUMENTOR</t>
  </si>
  <si>
    <t>średzki</t>
  </si>
  <si>
    <t>Miękinia</t>
  </si>
  <si>
    <t>Wilkszyn</t>
  </si>
  <si>
    <t>ul. Wiosenna</t>
  </si>
  <si>
    <t>aniaroza@icloud.com</t>
  </si>
  <si>
    <t>NIEPUBLICZNA PORADNIA PSYCHOLOGICZNO-PEDAGOGICZNA EMOTKA</t>
  </si>
  <si>
    <t>nowodworski</t>
  </si>
  <si>
    <t>Czosnów</t>
  </si>
  <si>
    <t>Kaliszki</t>
  </si>
  <si>
    <t>ul. Akacjowa</t>
  </si>
  <si>
    <t>piotr@paluchowski.eu</t>
  </si>
  <si>
    <t>NIEPUBLICZNA PORADNIA PSYCHOLOGICZNO-PEDAGOGICZNA ENGRAM</t>
  </si>
  <si>
    <t>al. IX Wieków Kielc</t>
  </si>
  <si>
    <t>grazynakrzyzak@wp.pl</t>
  </si>
  <si>
    <t>NIEPUBLICZNA PORADNIA PSYCHOLOGICZNO-PEDAGOGICZNA ERA PSYCHE</t>
  </si>
  <si>
    <t>Brzezia Łąka</t>
  </si>
  <si>
    <t>anna.radecka@erapsyche.com</t>
  </si>
  <si>
    <t>NIEPUBLICZNA PORADNIA PSYCHOLOGICZNO-PEDAGOGICZNA EVEMED</t>
  </si>
  <si>
    <t>poradnia@evemed.pl</t>
  </si>
  <si>
    <t>NIEPUBLICZNA PORADNIA PSYCHOLOGICZNO-PEDAGOGICZNA EVOLUO</t>
  </si>
  <si>
    <t>ul. Towarowa</t>
  </si>
  <si>
    <t>evoluoporadnia@gmail.com</t>
  </si>
  <si>
    <t>NIEPUBLICZNA PORADNIA PSYCHOLOGICZNO-PEDAGOGICZNA FIXFORM</t>
  </si>
  <si>
    <t>ul. św. Stanisława</t>
  </si>
  <si>
    <t>biuro@ejbisi.pl</t>
  </si>
  <si>
    <t>NIEPUBLICZNA PORADNIA PSYCHOLOGICZNO-PEDAGOGICZNA FIZJO-FAMILY</t>
  </si>
  <si>
    <t>ul. Przemysłowa</t>
  </si>
  <si>
    <t>biuro@fizjo-family.pl</t>
  </si>
  <si>
    <t>NIEPUBLICZNA PORADNIA PSYCHOLOGICZNO-PEDAGOGICZNA FIZJO-MIND</t>
  </si>
  <si>
    <t>sekretariat@iqedu.info</t>
  </si>
  <si>
    <t>NIEPUBLICZNA PORADNIA PSYCHOLOGICZNO-PEDAGOGICZNA FOCUS</t>
  </si>
  <si>
    <t>ul. Sikornik</t>
  </si>
  <si>
    <t>rejestracja.focus@gmail.com</t>
  </si>
  <si>
    <t>ul. Wincentego Pola</t>
  </si>
  <si>
    <t>rejestracja.katowice.focus@gmail.com</t>
  </si>
  <si>
    <t>NIEPUBLICZNA PORADNIA PSYCHOLOGICZNO-PEDAGOGICZNA FONTANNA</t>
  </si>
  <si>
    <t>ul. Drobiarska</t>
  </si>
  <si>
    <t>poradnia@fontanna.pl</t>
  </si>
  <si>
    <t>NIEPUBLICZNA PORADNIA PSYCHOLOGICZNO-PEDAGOGICZNA FORREST</t>
  </si>
  <si>
    <t>Wola Gołkowska</t>
  </si>
  <si>
    <t>ul. Piesza</t>
  </si>
  <si>
    <t>darek.mazurek@gmail.com</t>
  </si>
  <si>
    <t>NIEPUBLICZNA PORADNIA PSYCHOLOGICZNO-PEDAGOGICZNA FUTURE</t>
  </si>
  <si>
    <t>ul. Henryka Sienkiewicza</t>
  </si>
  <si>
    <t>ce_future@wp.pl</t>
  </si>
  <si>
    <t>NIEPUBLICZNA PORADNIA PSYCHOLOGICZNO-PEDAGOGICZNA GABIK W AUGUSTOWIE</t>
  </si>
  <si>
    <t>augustowski</t>
  </si>
  <si>
    <t>Augustów</t>
  </si>
  <si>
    <t>poradniagabik@wp.pl</t>
  </si>
  <si>
    <t>NIEPUBLICZNA PORADNIA PSYCHOLOGICZNO-PEDAGOGICZNA GDAŃSKIE LWY</t>
  </si>
  <si>
    <t>ul. Janusza Meissnera</t>
  </si>
  <si>
    <t>poradnia@gdanskie-lwy.pl</t>
  </si>
  <si>
    <t>NIEPUBLICZNA PORADNIA PSYCHOLOGICZNO-PEDAGOGICZNA HARMONIA</t>
  </si>
  <si>
    <t>ul. Ks. Ottona Wittenberga</t>
  </si>
  <si>
    <t>NIEPUBLICZNA PORADNIA PSYCHOLOGICZNO-PEDAGOGICZNA HEN</t>
  </si>
  <si>
    <t>ul. Goździkowa</t>
  </si>
  <si>
    <t>poradnia@fundacjahicetnunc.pl</t>
  </si>
  <si>
    <t>NIEPUBLICZNA PORADNIA PSYCHOLOGICZNO-PEDAGOGICZNA HOMO CREATOR</t>
  </si>
  <si>
    <t>ul. Krapkowicka</t>
  </si>
  <si>
    <t>NIEPUBLICZNA PORADNIA PSYCHOLOGICZNO-PEDAGOGICZNA HUŚTAWKA</t>
  </si>
  <si>
    <t>NIEPUBLICZNA PORADNIA PSYCHOLOGICZNO-PEDAGOGICZNA I CENTRUM EDUKACYJNO-TERAPEUTYCZNE HEIWA</t>
  </si>
  <si>
    <t>ul. Wiewiórki</t>
  </si>
  <si>
    <t>biuro@heiwa.pl</t>
  </si>
  <si>
    <t>NIEPUBLICZNA PORADNIA PSYCHOLOGICZNO-PEDAGOGICZNA I REHABILITACYJNA ASQ W WARSZAWIE</t>
  </si>
  <si>
    <t>ul. Zamieniecka</t>
  </si>
  <si>
    <t>NIEPUBLICZNA PORADNIA PSYCHOLOGICZNO-PEDAGOGICZNA I REHABILITACYJNA TOWARZYSTWA EDUKACYJNEGO "VIZJA"</t>
  </si>
  <si>
    <t>godlewska@vizja.pl</t>
  </si>
  <si>
    <t>NIEPUBLICZNA PORADNIA PSYCHOLOGICZNO-PEDAGOGICZNA IN-SENS</t>
  </si>
  <si>
    <t>Chotomów</t>
  </si>
  <si>
    <t>ul. Kwiatowa</t>
  </si>
  <si>
    <t>biuro@in-sens.pl</t>
  </si>
  <si>
    <t>Legionowo</t>
  </si>
  <si>
    <t>NIEPUBLICZNA PORADNIA PSYCHOLOGICZNO-PEDAGOGICZNA INSTYTUT PSYCHOLOGII I EDUKACJI DZIECKA</t>
  </si>
  <si>
    <t>ul. Juliusza Słowackiego</t>
  </si>
  <si>
    <t>instytuttied@gmail.com</t>
  </si>
  <si>
    <t>Suchy Las</t>
  </si>
  <si>
    <t>NIEPUBLICZNA PORADNIA PSYCHOLOGICZNO-PEDAGOGICZNA INTEGROS W BYDGOSZCZY</t>
  </si>
  <si>
    <t>ul. Glinki</t>
  </si>
  <si>
    <t>integros@integros.com.pl</t>
  </si>
  <si>
    <t>NIEPUBLICZNA PORADNIA PSYCHOLOGICZNO-PEDAGOGICZNA INTROMED</t>
  </si>
  <si>
    <t>ul. Wrzosowa</t>
  </si>
  <si>
    <t>kamilzajac9@wp.pl</t>
  </si>
  <si>
    <t>NIEPUBLICZNA PORADNIA PSYCHOLOGICZNO-PEDAGOGICZNA IQ DOROTA SZYNAL W ŚWIDNICY</t>
  </si>
  <si>
    <t>Świdnica</t>
  </si>
  <si>
    <t>ul. Ofiar Oświęcimskich</t>
  </si>
  <si>
    <t>dorotaszynal@wp.pl</t>
  </si>
  <si>
    <t>NIEPUBLICZNA PORADNIA PSYCHOLOGICZNO-PEDAGOGICZNA IWE</t>
  </si>
  <si>
    <t>Iłów</t>
  </si>
  <si>
    <t>NIEPUBLICZNA PORADNIA PSYCHOLOGICZNO-PEDAGOGICZNA JA TEŻ</t>
  </si>
  <si>
    <t>ul. Mariana Smoluchowskiego</t>
  </si>
  <si>
    <t>iwonasimon@jatez.org.pl</t>
  </si>
  <si>
    <t>NIEPUBLICZNA PORADNIA PSYCHOLOGICZNO-PEDAGOGICZNA JAWOREK W SUCHYM DWORZE</t>
  </si>
  <si>
    <t>Suchy Dwór</t>
  </si>
  <si>
    <t>ul. Sowia</t>
  </si>
  <si>
    <t>jaworek@spartandomy.pl</t>
  </si>
  <si>
    <t>NIEPUBLICZNA PORADNIA PSYCHOLOGICZNO-PEDAGOGICZNA KALEJDOSKOP ROZWOJU</t>
  </si>
  <si>
    <t>pl. Nowy Rynek</t>
  </si>
  <si>
    <t>poradnia@kalejdoskop-rozwoju.pl</t>
  </si>
  <si>
    <t>NIEPUBLICZNA PORADNIA PSYCHOLOGICZNO-PEDAGOGICZNA KANGUR</t>
  </si>
  <si>
    <t>ul. J. Gallusa</t>
  </si>
  <si>
    <t>nzozkangur@gmail.com</t>
  </si>
  <si>
    <t>NIEPUBLICZNA PORADNIA PSYCHOLOGICZNO-PEDAGOGICZNA KIWI</t>
  </si>
  <si>
    <t>ostródzki</t>
  </si>
  <si>
    <t>Ostróda</t>
  </si>
  <si>
    <t>monikasobieska1991@wp.pl</t>
  </si>
  <si>
    <t>NIEPUBLICZNA PORADNIA PSYCHOLOGICZNO-PEDAGOGICZNA KONTINUUM W KATOWICACH</t>
  </si>
  <si>
    <t>poczta@kontinuum.pl</t>
  </si>
  <si>
    <t>NIEPUBLICZNA PORADNIA PSYCHOLOGICZNO-PEDAGOGICZNA KOPARKA</t>
  </si>
  <si>
    <t>ul. Strzygłowska</t>
  </si>
  <si>
    <t>przemek@osrodek-koparka.pl</t>
  </si>
  <si>
    <t>NIEPUBLICZNA PORADNIA PSYCHOLOGICZNO-PEDAGOGICZNA KREDKA</t>
  </si>
  <si>
    <t>Środa Wielkopolska</t>
  </si>
  <si>
    <t>ul. Poselska</t>
  </si>
  <si>
    <t>logopeda.pawelczyk@gmail.com</t>
  </si>
  <si>
    <t>NIEPUBLICZNA PORADNIA PSYCHOLOGICZNO-PEDAGOGICZNA KRÓL MACIUŚ 21.</t>
  </si>
  <si>
    <t>ul. Bodzentyńska</t>
  </si>
  <si>
    <t>olga@eparagraf.com</t>
  </si>
  <si>
    <t>NIEPUBLICZNA PORADNIA PSYCHOLOGICZNO-PEDAGOGICZNA KROPKA</t>
  </si>
  <si>
    <t>ul. Sandomierska</t>
  </si>
  <si>
    <t>poradniakropka@vp.pl</t>
  </si>
  <si>
    <t>NIEPUBLICZNA PORADNIA PSYCHOLOGICZNO-PEDAGOGICZNA LAUDAME</t>
  </si>
  <si>
    <t>ul. Wiejska</t>
  </si>
  <si>
    <t>laudame.lomianki@gmail.com</t>
  </si>
  <si>
    <t>NIEPUBLICZNA PORADNIA PSYCHOLOGICZNO-PEDAGOGICZNA LOGOHELP</t>
  </si>
  <si>
    <t>pl. Plac Wolności</t>
  </si>
  <si>
    <t>BIURO.LOGOHELP@GMAIL.COM</t>
  </si>
  <si>
    <t>NIEPUBLICZNA PORADNIA PSYCHOLOGICZNO-PEDAGOGICZNA LOGOMONO</t>
  </si>
  <si>
    <t>ul. Skromna</t>
  </si>
  <si>
    <t>biuro@logomono.pl</t>
  </si>
  <si>
    <t>NIEPUBLICZNA PORADNIA PSYCHOLOGICZNO-PEDAGOGICZNA LOGOOFUN</t>
  </si>
  <si>
    <t>Czernica</t>
  </si>
  <si>
    <t>Dobrzykowice</t>
  </si>
  <si>
    <t>ul. Stawowa</t>
  </si>
  <si>
    <t>logoofun@gmail.com</t>
  </si>
  <si>
    <t>NIEPUBLICZNA PORADNIA PSYCHOLOGICZNO-PEDAGOGICZNA LOGOS - DZIECIĘCA TERAPIA ROZWOJOWA</t>
  </si>
  <si>
    <t>ul. św. Wincentego</t>
  </si>
  <si>
    <t>logos@logos-dtr.pl</t>
  </si>
  <si>
    <t>NIEPUBLICZNA PORADNIA PSYCHOLOGICZNO-PEDAGOGICZNA MAKANAMA</t>
  </si>
  <si>
    <t>ul. Józefa Mehoffera</t>
  </si>
  <si>
    <t>1aster@wp.pl</t>
  </si>
  <si>
    <t>NIEPUBLICZNA PORADNIA PSYCHOLOGICZNO-PEDAGOGICZNA MAMIS</t>
  </si>
  <si>
    <t>szkola@sukcesedukacja.pl</t>
  </si>
  <si>
    <t>NIEPUBLICZNA PORADNIA PSYCHOLOGICZNO-PEDAGOGICZNA MIA MENTE</t>
  </si>
  <si>
    <t>ppp@miamente.pl</t>
  </si>
  <si>
    <t>NIEPUBLICZNA PORADNIA PSYCHOLOGICZNO-PEDAGOGICZNA MILUDEK</t>
  </si>
  <si>
    <t>ul. Cedrowa</t>
  </si>
  <si>
    <t>cwrmiludek@gmail.com</t>
  </si>
  <si>
    <t>NIEPUBLICZNA PORADNIA PSYCHOLOGICZNO-PEDAGOGICZNA MISIEK</t>
  </si>
  <si>
    <t>ul. Literacka</t>
  </si>
  <si>
    <t>info@poradniamisiek.pl</t>
  </si>
  <si>
    <t>NIEPUBLICZNA PORADNIA PSYCHOLOGICZNO-PEDAGOGICZNA MOTYLEK W BYDGOSZCZY</t>
  </si>
  <si>
    <t>motylek@list.pl</t>
  </si>
  <si>
    <t>NIEPUBLICZNA PORADNIA PSYCHOLOGICZNO-PEDAGOGICZNA MOZAIKA</t>
  </si>
  <si>
    <t>ul. Jarosława Dąbrowskiego</t>
  </si>
  <si>
    <t>NIEPUBLICZNA PORADNIA PSYCHOLOGICZNO-PEDAGOGICZNA MOŻEMY WIĘCEJ</t>
  </si>
  <si>
    <t>ul. Cichociemnych</t>
  </si>
  <si>
    <t>mszoltysik@gazeta.pl</t>
  </si>
  <si>
    <t>NIEPUBLICZNA PORADNIA PSYCHOLOGICZNO-PEDAGOGICZNA NA TYLNEJ</t>
  </si>
  <si>
    <t>ul. Tylna</t>
  </si>
  <si>
    <t>kontakt@ewabienert.pl</t>
  </si>
  <si>
    <t>NIEPUBLICZNA PORADNIA PSYCHOLOGICZNO-PEDAGOGICZNA NAVITA</t>
  </si>
  <si>
    <t>biuro@rehabilitacjanavita.pl</t>
  </si>
  <si>
    <t>NIEPUBLICZNA PORADNIA PSYCHOLOGICZNO-PEDAGOGICZNA NEMO</t>
  </si>
  <si>
    <t>poradnianemo@gmail.com</t>
  </si>
  <si>
    <t>NIEPUBLICZNA PORADNIA PSYCHOLOGICZNO-PEDAGOGICZNA NEUROLINGUA</t>
  </si>
  <si>
    <t>ul. Bystrzańska</t>
  </si>
  <si>
    <t>NIEPUBLICZNA PORADNIA PSYCHOLOGICZNO-PEDAGOGICZNA NINTU MARTA ŻYSKO-PAŁUBA</t>
  </si>
  <si>
    <t>ul. Gen. Grochowskiego</t>
  </si>
  <si>
    <t>info@nintu.pl</t>
  </si>
  <si>
    <t>NIEPUBLICZNA PORADNIA PSYCHOLOGICZNO-PEDAGOGICZNA NR 1</t>
  </si>
  <si>
    <t>NIEPUBLICZNA PORADNIA PSYCHOLOGICZNO-PEDAGOGICZNA NR 1 "CENTRUM TERAPII I DIAGNOZY INICJATYWA"</t>
  </si>
  <si>
    <t>puławski</t>
  </si>
  <si>
    <t>Puławy</t>
  </si>
  <si>
    <t>ul. Gościńczyk</t>
  </si>
  <si>
    <t>centruminicjatywa@gmail.com</t>
  </si>
  <si>
    <t>NIEPUBLICZNA PORADNIA PSYCHOLOGICZNO-PEDAGOGICZNA NR 1 W HRUBIESZOWIE</t>
  </si>
  <si>
    <t>hrubieszowski</t>
  </si>
  <si>
    <t>Hrubieszów</t>
  </si>
  <si>
    <t>spoldzielnia.zoska@gmail.com</t>
  </si>
  <si>
    <t>NIEPUBLICZNA PORADNIA PSYCHOLOGICZNO-PEDAGOGICZNA NR 1 W PRUSZCZU GDAŃSKIM</t>
  </si>
  <si>
    <t>kontakt@pie.org.pl</t>
  </si>
  <si>
    <t>NIEPUBLICZNA PORADNIA PSYCHOLOGICZNO-PEDAGOGICZNA NR 2 "FUNDACJI DOBROCZYŃCA"</t>
  </si>
  <si>
    <t>ul. Dokerów</t>
  </si>
  <si>
    <t>fundacjadobroczynca@wp.pl</t>
  </si>
  <si>
    <t>NIEPUBLICZNA PORADNIA PSYCHOLOGICZNO-PEDAGOGICZNA NR 2 W OPOCZNIE</t>
  </si>
  <si>
    <t>karolina_zd@interia.pl</t>
  </si>
  <si>
    <t>NIEPUBLICZNA PORADNIA PSYCHOLOGICZNO-PEDAGOGICZNA NR 5 W CHEŁMIE</t>
  </si>
  <si>
    <t>poradnia5chelm@poczta.fm</t>
  </si>
  <si>
    <t>NIEPUBLICZNA PORADNIA PSYCHOLOGICZNO-PEDAGOGICZNA ORTHIS</t>
  </si>
  <si>
    <t>Rembertów</t>
  </si>
  <si>
    <t>ul. Grawerska</t>
  </si>
  <si>
    <t>poradniaorthis@gmail.com</t>
  </si>
  <si>
    <t>NIEPUBLICZNA PORADNIA PSYCHOLOGICZNO-PEDAGOGICZNA OTWARTE DRZWI</t>
  </si>
  <si>
    <t>ul. Strzelecka</t>
  </si>
  <si>
    <t>NIEPUBLICZNA PORADNIA PSYCHOLOGICZNO-PEDAGOGICZNA PIO</t>
  </si>
  <si>
    <t>pułtuski</t>
  </si>
  <si>
    <t>Pułtusk</t>
  </si>
  <si>
    <t>ul. Żwirki i Wigury</t>
  </si>
  <si>
    <t>rehabilitacja.pio@vp.pl</t>
  </si>
  <si>
    <t>makowski</t>
  </si>
  <si>
    <t>NIEPUBLICZNA PORADNIA PSYCHOLOGICZNO-PEDAGOGICZNA PLANETA INTEGRACJI</t>
  </si>
  <si>
    <t>ul. Rzgowska</t>
  </si>
  <si>
    <t>biuro@planetaintegracji.pl</t>
  </si>
  <si>
    <t>NIEPUBLICZNA PORADNIA PSYCHOLOGICZNO-PEDAGOGICZNA POD WIELKIM DACHEM NIEBA</t>
  </si>
  <si>
    <t>ul. Jana Ostroroga</t>
  </si>
  <si>
    <t>NIEPUBLICZNA PORADNIA PSYCHOLOGICZNO-PEDAGOGICZNA PORADNIA OŻAROWSKA ANNA JAROŃ</t>
  </si>
  <si>
    <t>ul. Ożarowska</t>
  </si>
  <si>
    <t>info@poradniaozarowska.pl</t>
  </si>
  <si>
    <t>NIEPUBLICZNA PORADNIA PSYCHOLOGICZNO-PEDAGOGICZNA PORADNIA RODZINNA MODUS VIVENDI</t>
  </si>
  <si>
    <t>ul. Walentego Fojkisa</t>
  </si>
  <si>
    <t>info@centrumpomocyrodzinie.pl</t>
  </si>
  <si>
    <t>NIEPUBLICZNA PORADNIA PSYCHOLOGICZNO-PEDAGOGICZNA POSITIVE THERAPY</t>
  </si>
  <si>
    <t>biuro@positive-therapy.pl</t>
  </si>
  <si>
    <t>NIEPUBLICZNA PORADNIA PSYCHOLOGICZNO-PEDAGOGICZNA POWIŚLAŃSKIEJ FUNDACJI SPOŁECZNEJ</t>
  </si>
  <si>
    <t>ul. Mokotowska</t>
  </si>
  <si>
    <t>poradnia@pfs.pl</t>
  </si>
  <si>
    <t>NIEPUBLICZNA PORADNIA PSYCHOLOGICZNO-PEDAGOGICZNA POZYTYWKA</t>
  </si>
  <si>
    <t>ul. Zakopiańska</t>
  </si>
  <si>
    <t>nppprabka@gmail.com</t>
  </si>
  <si>
    <t>NIEPUBLICZNA PORADNIA PSYCHOLOGICZNO-PEDAGOGICZNA PRO FUTURO</t>
  </si>
  <si>
    <t>ul. gen. Sylwestra Kaliskiego</t>
  </si>
  <si>
    <t>sekretariat@profuturo.edu.pl</t>
  </si>
  <si>
    <t>NIEPUBLICZNA PORADNIA PSYCHOLOGICZNO-PEDAGOGICZNA PROGRES W LUBLINIE</t>
  </si>
  <si>
    <t>ul. Szewska</t>
  </si>
  <si>
    <t>progresporadnia@gmail.com</t>
  </si>
  <si>
    <t>NIEPUBLICZNA PORADNIA PSYCHOLOGICZNO-PEDAGOGICZNA PROGRES-CENTRUM STYMULACJI I ROZWOJU</t>
  </si>
  <si>
    <t>Zbrudzewo</t>
  </si>
  <si>
    <t>ul. Śremska</t>
  </si>
  <si>
    <t>centrumprogres@op.pl</t>
  </si>
  <si>
    <t>NIEPUBLICZNA PORADNIA PSYCHOLOGICZNO-PEDAGOGICZNA PROGRESJA</t>
  </si>
  <si>
    <t>ul. Senatorska</t>
  </si>
  <si>
    <t>biuro@familyschool.edu.pl</t>
  </si>
  <si>
    <t>NIEPUBLICZNA PORADNIA PSYCHOLOGICZNO-PEDAGOGICZNA PROGRESS W BUSKU-ZDROJU</t>
  </si>
  <si>
    <t>biuro@rehabilitacjadziecibusko.pl</t>
  </si>
  <si>
    <t>NIEPUBLICZNA PORADNIA PSYCHOLOGICZNO-PEDAGOGICZNA PROGRESSIO</t>
  </si>
  <si>
    <t>ul. Władysława Jagiełły</t>
  </si>
  <si>
    <t>terapiaprogressio@gmail.com</t>
  </si>
  <si>
    <t>NIEPUBLICZNA PORADNIA PSYCHOLOGICZNO-PEDAGOGICZNA PROGRESSUS</t>
  </si>
  <si>
    <t>Prażmów</t>
  </si>
  <si>
    <t>Ustanów</t>
  </si>
  <si>
    <t>ul. Słowicza</t>
  </si>
  <si>
    <t>babetka@onet.eu</t>
  </si>
  <si>
    <t>NIEPUBLICZNA PORADNIA PSYCHOLOGICZNO-PEDAGOGICZNA PRZY AKME CONSULTING W RZESZOWIE</t>
  </si>
  <si>
    <t>nppp@akme.org.pl</t>
  </si>
  <si>
    <t>NIEPUBLICZNA PORADNIA PSYCHOLOGICZNO-PEDAGOGICZNA PRZY EDUSENSUM SP. Z O.O. SP. K.</t>
  </si>
  <si>
    <t>rzeszowski</t>
  </si>
  <si>
    <t>Tyczyn</t>
  </si>
  <si>
    <t>Kielnarowa</t>
  </si>
  <si>
    <t>NIEPUBLICZNA PORADNIA PSYCHOLOGICZNO-PEDAGOGICZNA PRZY INSTYTUCIE DIAGNOSTYKI, OPINIODAWSTWA I POMOCY PSYCHOLOGICZNEJ WSB-NLU</t>
  </si>
  <si>
    <t>instytutopiniowania@wsb-nlu.edu.pl</t>
  </si>
  <si>
    <t>NIEPUBLICZNA PORADNIA PSYCHOLOGICZNO-PEDAGOGICZNA PRZYSTAŃ SZKRABA</t>
  </si>
  <si>
    <t>ul. Dzielna</t>
  </si>
  <si>
    <t>przystanszkraba@gmail.com</t>
  </si>
  <si>
    <t>NIEPUBLICZNA PORADNIA PSYCHOLOGICZNO-PEDAGOGICZNA REHA-SENS W JĘDRZEJOWIE</t>
  </si>
  <si>
    <t>jędrzejowski</t>
  </si>
  <si>
    <t>Jędrzejów</t>
  </si>
  <si>
    <t>ul. Aleja Józefa Piłsudskiego</t>
  </si>
  <si>
    <t>reha-sens@reha-sens.com.pl</t>
  </si>
  <si>
    <t>NIEPUBLICZNA PORADNIA PSYCHOLOGICZNO-PEDAGOGICZNA RODZINKA</t>
  </si>
  <si>
    <t>fundacjapolskarodzina@gmail.com</t>
  </si>
  <si>
    <t>NIEPUBLICZNA PORADNIA PSYCHOLOGICZNO-PEDAGOGICZNA ROZWIŃ SKRZYDŁA W BIAŁYMSTOKU</t>
  </si>
  <si>
    <t>ul. Upalna</t>
  </si>
  <si>
    <t>poradniarozwinskrzydla@gmail.com</t>
  </si>
  <si>
    <t>NIEPUBLICZNA PORADNIA PSYCHOLOGICZNO-PEDAGOGICZNA RUBINOWA</t>
  </si>
  <si>
    <t>Zabrze</t>
  </si>
  <si>
    <t>ul. Pawła Majnusza</t>
  </si>
  <si>
    <t>tomaszozog.poradniarubinowa@gmail.com</t>
  </si>
  <si>
    <t>NIEPUBLICZNA PORADNIA PSYCHOLOGICZNO-PEDAGOGICZNA SENS</t>
  </si>
  <si>
    <t>sens.gliwice@gmail.com</t>
  </si>
  <si>
    <t>NIEPUBLICZNA PORADNIA PSYCHOLOGICZNO-PEDAGOGICZNA SENSORYKA</t>
  </si>
  <si>
    <t>ul. Turniejowa</t>
  </si>
  <si>
    <t>kucia01@gmail.com</t>
  </si>
  <si>
    <t>NIEPUBLICZNA PORADNIA PSYCHOLOGICZNO-PEDAGOGICZNA SENSORYNKA</t>
  </si>
  <si>
    <t>ul. Krasnowolska</t>
  </si>
  <si>
    <t>przedszkole@przedszkoleowocowe.pl</t>
  </si>
  <si>
    <t>NIEPUBLICZNA PORADNIA PSYCHOLOGICZNO-PEDAGOGICZNA SENSUS</t>
  </si>
  <si>
    <t>Żory</t>
  </si>
  <si>
    <t>ul. Traugutta</t>
  </si>
  <si>
    <t>npppsensus.zory@wp.pl</t>
  </si>
  <si>
    <t>NIEPUBLICZNA PORADNIA PSYCHOLOGICZNO-PEDAGOGICZNA SENTIDOS</t>
  </si>
  <si>
    <t>ul. Aleja Lipowa</t>
  </si>
  <si>
    <t>agnieszka.mucha.terapia@gmail.com</t>
  </si>
  <si>
    <t>NIEPUBLICZNA PORADNIA PSYCHOLOGICZNO-PEDAGOGICZNA SINTONIA</t>
  </si>
  <si>
    <t>ul. Życzliwa</t>
  </si>
  <si>
    <t>kontakt@sintonia.pl</t>
  </si>
  <si>
    <t>NIEPUBLICZNA PORADNIA PSYCHOLOGICZNO-PEDAGOGICZNA SKRZYDŁA W LUBLINIE</t>
  </si>
  <si>
    <t>poradnia@skrzydla.lublin.pl</t>
  </si>
  <si>
    <t>NIEPUBLICZNA PORADNIA PSYCHOLOGICZNO-PEDAGOGICZNA ŚLĄSKIE CENTRUM ROZWOJU DZIECKA</t>
  </si>
  <si>
    <t>ul. Tomasza Kotlarza</t>
  </si>
  <si>
    <t>kontakt@scrd.pl</t>
  </si>
  <si>
    <t>NIEPUBLICZNA PORADNIA PSYCHOLOGICZNO-PEDAGOGICZNA SOLIS RADIUS W RZESZOWIE</t>
  </si>
  <si>
    <t>j.babis@solisradius.pl</t>
  </si>
  <si>
    <t>NIEPUBLICZNA PORADNIA PSYCHOLOGICZNO-PEDAGOGICZNA SPERARE</t>
  </si>
  <si>
    <t>ul. Głogowska</t>
  </si>
  <si>
    <t>sabinable80@interia.pl</t>
  </si>
  <si>
    <t>ul. Gdańska</t>
  </si>
  <si>
    <t>sperare@sperare.pl</t>
  </si>
  <si>
    <t>NIEPUBLICZNA PORADNIA PSYCHOLOGICZNO-PEDAGOGICZNA SPERO TERAPIA I WSPARCIE</t>
  </si>
  <si>
    <t>ul. św. Piotra</t>
  </si>
  <si>
    <t>nppp.spero@rfpn.org</t>
  </si>
  <si>
    <t>NIEPUBLICZNA PORADNIA PSYCHOLOGICZNO-PEDAGOGICZNA SPINAKER W GRUDZIĄDZU Z CENTRUM DIAGNOZY I TERAPII AUTYZMU</t>
  </si>
  <si>
    <t>Grudziądz</t>
  </si>
  <si>
    <t>ul. Ludwika Waryńskiego</t>
  </si>
  <si>
    <t>info@edukacja.grudziadz.com</t>
  </si>
  <si>
    <t>NIEPUBLICZNA PORADNIA PSYCHOLOGICZNO-PEDAGOGICZNA STACJA TERAPII I ROZWOJU</t>
  </si>
  <si>
    <t>ul. Syriusza</t>
  </si>
  <si>
    <t>kontakt@stacjarozwoju.pl</t>
  </si>
  <si>
    <t>NIEPUBLICZNA PORADNIA PSYCHOLOGICZNO-PEDAGOGICZNA STREFA ROZWOJU</t>
  </si>
  <si>
    <t>poradnia@strefarozwoju.edu.pl</t>
  </si>
  <si>
    <t>NIEPUBLICZNA PORADNIA PSYCHOLOGICZNO-PEDAGOGICZNA STYMULUS</t>
  </si>
  <si>
    <t>ul. Juliana Dunajewskiego</t>
  </si>
  <si>
    <t>swtomas@o2.pl</t>
  </si>
  <si>
    <t>Zamość</t>
  </si>
  <si>
    <t>NIEPUBLICZNA PORADNIA PSYCHOLOGICZNO-PEDAGOGICZNA SUKURS</t>
  </si>
  <si>
    <t>os. Piastowskie</t>
  </si>
  <si>
    <t>kontakt@poradniasukurs.pl</t>
  </si>
  <si>
    <t>NIEPUBLICZNA PORADNIA PSYCHOLOGICZNO-PEDAGOGICZNA TERAPIS</t>
  </si>
  <si>
    <t>ul. Skotnica</t>
  </si>
  <si>
    <t>terapis.mikolow@gmail.com</t>
  </si>
  <si>
    <t>NIEPUBLICZNA PORADNIA PSYCHOLOGICZNO-PEDAGOGICZNA TERVITA</t>
  </si>
  <si>
    <t>ul. Władysława Truchana</t>
  </si>
  <si>
    <t>kontakt@tervita.pl</t>
  </si>
  <si>
    <t>NIEPUBLICZNA PORADNIA PSYCHOLOGICZNO-PEDAGOGICZNA TUPTUSIE</t>
  </si>
  <si>
    <t>poradnia@tuptusie.pl</t>
  </si>
  <si>
    <t>NIEPUBLICZNA PORADNIA PSYCHOLOGICZNO-PEDAGOGICZNA TUTTI W KATOWICACH</t>
  </si>
  <si>
    <t>biuro@btk-integracja.pl</t>
  </si>
  <si>
    <t>NIEPUBLICZNA PORADNIA PSYCHOLOGICZNO-PEDAGOGICZNA TWOJA TERAPIA</t>
  </si>
  <si>
    <t>ul. Stanisława Fliegera</t>
  </si>
  <si>
    <t>biuro.twojaterapia@gmail.com</t>
  </si>
  <si>
    <t>NIEPUBLICZNA PORADNIA PSYCHOLOGICZNO-PEDAGOGICZNA UNI-TERRA</t>
  </si>
  <si>
    <t>ul. Łozowa</t>
  </si>
  <si>
    <t>kontakt@poradniauniterra.pl</t>
  </si>
  <si>
    <t>NIEPUBLICZNA PORADNIA PSYCHOLOGICZNO-PEDAGOGICZNA VITACOMPLEX</t>
  </si>
  <si>
    <t>jolantasopala@gmail.com</t>
  </si>
  <si>
    <t>NIEPUBLICZNA PORADNIA PSYCHOLOGICZNO-PEDAGOGICZNA W BĄKOWIE</t>
  </si>
  <si>
    <t>Bąkowo</t>
  </si>
  <si>
    <t>osada</t>
  </si>
  <si>
    <t>edukateria@gmail.com</t>
  </si>
  <si>
    <t>NIEPUBLICZNA PORADNIA PSYCHOLOGICZNO-PEDAGOGICZNA W BYDGOSZCZY</t>
  </si>
  <si>
    <t>ul. Szczęśliwa</t>
  </si>
  <si>
    <t>poradnia.bydgoszcz@gmail.com</t>
  </si>
  <si>
    <t>NIEPUBLICZNA PORADNIA PSYCHOLOGICZNO-PEDAGOGICZNA W BYSTRZYCY KŁODZKIEJ</t>
  </si>
  <si>
    <t>Bystrzyca Kłodzka</t>
  </si>
  <si>
    <t>terapie1@o2.pl</t>
  </si>
  <si>
    <t>NIEPUBLICZNA PORADNIA PSYCHOLOGICZNO-PEDAGOGICZNA W CHEŁMIE</t>
  </si>
  <si>
    <t>i.kalinska@podgorka.home.pl</t>
  </si>
  <si>
    <t>NIEPUBLICZNA PORADNIA PSYCHOLOGICZNO-PEDAGOGICZNA W INOWROCŁAWIU</t>
  </si>
  <si>
    <t>ul. Szklarska</t>
  </si>
  <si>
    <t>psz_tempus@op.pl</t>
  </si>
  <si>
    <t>NIEPUBLICZNA PORADNIA PSYCHOLOGICZNO-PEDAGOGICZNA W KROŚNIE</t>
  </si>
  <si>
    <t>ul. ks. Stanisława Decowskiego</t>
  </si>
  <si>
    <t>nppp.krosno@gmail.com</t>
  </si>
  <si>
    <t>Przemyśl</t>
  </si>
  <si>
    <t>NIEPUBLICZNA PORADNIA PSYCHOLOGICZNO-PEDAGOGICZNA W KUTNIE</t>
  </si>
  <si>
    <t>kutnowski</t>
  </si>
  <si>
    <t>Kutno</t>
  </si>
  <si>
    <t>ul. kard. Stefana Wyszyńskiego</t>
  </si>
  <si>
    <t>psychoporadnia1@wp.pl</t>
  </si>
  <si>
    <t>NIEPUBLICZNA PORADNIA PSYCHOLOGICZNO-PEDAGOGICZNA W ŁOCHOWIE</t>
  </si>
  <si>
    <t>Łochów</t>
  </si>
  <si>
    <t>NIEPUBLICZNA PORADNIA PSYCHOLOGICZNO-PEDAGOGICZNA W LUBLINIE</t>
  </si>
  <si>
    <t>poradniapsychologicznalublin@gmail.com</t>
  </si>
  <si>
    <t>NIEPUBLICZNA PORADNIA PSYCHOLOGICZNO-PEDAGOGICZNA W LUBLINIE "CENTRUM DAJEMY SŁOWO"</t>
  </si>
  <si>
    <t>ul. Nowy Świat</t>
  </si>
  <si>
    <t>poradnia.oswiata@centrumdajemyslowo.com</t>
  </si>
  <si>
    <t>NIEPUBLICZNA PORADNIA PSYCHOLOGICZNO-PEDAGOGICZNA W MAŁOGOSZCZU</t>
  </si>
  <si>
    <t>Małogoszcz</t>
  </si>
  <si>
    <t>ul. Plac Kościuszki</t>
  </si>
  <si>
    <t>irenkas81@interia.pl</t>
  </si>
  <si>
    <t>NIEPUBLICZNA PORADNIA PSYCHOLOGICZNO-PEDAGOGICZNA W OLECKU</t>
  </si>
  <si>
    <t>olecki</t>
  </si>
  <si>
    <t>Olecko</t>
  </si>
  <si>
    <t>npppolecko@gmail.com</t>
  </si>
  <si>
    <t>NIEPUBLICZNA PORADNIA PSYCHOLOGICZNO-PEDAGOGICZNA W OLEŚNICY</t>
  </si>
  <si>
    <t>ul. Północna</t>
  </si>
  <si>
    <t>poradnia@dobrystart.info.pl</t>
  </si>
  <si>
    <t>NIEPUBLICZNA PORADNIA PSYCHOLOGICZNO-PEDAGOGICZNA W OSTRZESZOWIE</t>
  </si>
  <si>
    <t>ostrzeszowski</t>
  </si>
  <si>
    <t>Ostrzeszów</t>
  </si>
  <si>
    <t>pl. Plac Kazimierza Wielkiego</t>
  </si>
  <si>
    <t>agorzelanna@wp.pl</t>
  </si>
  <si>
    <t>kępiński</t>
  </si>
  <si>
    <t>Kępno</t>
  </si>
  <si>
    <t>NIEPUBLICZNA PORADNIA PSYCHOLOGICZNO-PEDAGOGICZNA W PUŁAWACH</t>
  </si>
  <si>
    <t>adamowicz_ela@o2.pl</t>
  </si>
  <si>
    <t>NIEPUBLICZNA PORADNIA PSYCHOLOGICZNO-PEDAGOGICZNA W RADOMIU</t>
  </si>
  <si>
    <t>ul. Adama Rapackiego</t>
  </si>
  <si>
    <t>aniaetc@wp.pl</t>
  </si>
  <si>
    <t>NIEPUBLICZNA PORADNIA PSYCHOLOGICZNO-PEDAGOGICZNA W SANDOMIERZU</t>
  </si>
  <si>
    <t>Sandomierz</t>
  </si>
  <si>
    <t>ul. Opatowska</t>
  </si>
  <si>
    <t>ggeva@op.pl</t>
  </si>
  <si>
    <t>NIEPUBLICZNA PORADNIA PSYCHOLOGICZNO-PEDAGOGICZNA W SKALE</t>
  </si>
  <si>
    <t>krakowski</t>
  </si>
  <si>
    <t>Skała</t>
  </si>
  <si>
    <t>rejestracjaskala@gmail.com</t>
  </si>
  <si>
    <t>Zielonki</t>
  </si>
  <si>
    <t>NIEPUBLICZNA PORADNIA PSYCHOLOGICZNO-PEDAGOGICZNA W SKALE - FILIA W TROJANOWICACH</t>
  </si>
  <si>
    <t>Trojanowice</t>
  </si>
  <si>
    <t>ul. Krakowskie Przedmieście</t>
  </si>
  <si>
    <t>NIEPUBLICZNA PORADNIA PSYCHOLOGICZNO-PEDAGOGICZNA W SOLCU KUJAWSKIM</t>
  </si>
  <si>
    <t>Solec Kujawski</t>
  </si>
  <si>
    <t>dinus@poradnia-soleckujawski.pl</t>
  </si>
  <si>
    <t>NIEPUBLICZNA PORADNIA PSYCHOLOGICZNO-PEDAGOGICZNA W ŚREMIE MATEUSZ SNELA</t>
  </si>
  <si>
    <t>ul. Kosynierów</t>
  </si>
  <si>
    <t>NIEPUBLICZNA PORADNIA PSYCHOLOGICZNO-PEDAGOGICZNA W STARACHOWICACH</t>
  </si>
  <si>
    <t>starachowicki</t>
  </si>
  <si>
    <t>Starachowice</t>
  </si>
  <si>
    <t>ul. Stanisława Wigury</t>
  </si>
  <si>
    <t>magdagrochulska@gazeta.pl</t>
  </si>
  <si>
    <t>NIEPUBLICZNA PORADNIA PSYCHOLOGICZNO-PEDAGOGICZNA W TCZEWIE</t>
  </si>
  <si>
    <t>ul. Warsztatowa</t>
  </si>
  <si>
    <t>sekretariat@nauka.etczew.eu</t>
  </si>
  <si>
    <t>NIEPUBLICZNA PORADNIA PSYCHOLOGICZNO-PEDAGOGICZNA W TRZEBINI</t>
  </si>
  <si>
    <t>biuro@poradnia.trzebinia.com</t>
  </si>
  <si>
    <t>NIEPUBLICZNA PORADNIA PSYCHOLOGICZNO-PEDAGOGICZNA W USTRONIU</t>
  </si>
  <si>
    <t>Ustroń</t>
  </si>
  <si>
    <t>ul. Szeroka</t>
  </si>
  <si>
    <t>NIEPUBLICZNA PORADNIA PSYCHOLOGICZNO-PEDAGOGICZNA W WISZNICACH</t>
  </si>
  <si>
    <t>bialski</t>
  </si>
  <si>
    <t>Wisznice</t>
  </si>
  <si>
    <t>r.szpilewicz@wp.pl</t>
  </si>
  <si>
    <t>NIEPUBLICZNA PORADNIA PSYCHOLOGICZNO-PEDAGOGICZNA W WODZISŁAWIU ŚLĄSKIM</t>
  </si>
  <si>
    <t>os. Osiedle 1 Maja</t>
  </si>
  <si>
    <t>etrojniar@ipt.pl</t>
  </si>
  <si>
    <t>NIEPUBLICZNA PORADNIA PSYCHOLOGICZNO-PEDAGOGICZNA W WOŁOWIE</t>
  </si>
  <si>
    <t>wołowski</t>
  </si>
  <si>
    <t>Wołów</t>
  </si>
  <si>
    <t>NIEPUBLICZNA PORADNIA PSYCHOLOGICZNO-PEDAGOGICZNA W ZAWIERCIU</t>
  </si>
  <si>
    <t>ul. Władysława Stanisława Reymonta</t>
  </si>
  <si>
    <t>kontakt@psychologzawiercie.eu</t>
  </si>
  <si>
    <t>NIEPUBLICZNA PORADNIA PSYCHOLOGICZNO-PEDAGOGICZNA W ŻELECHOWIE</t>
  </si>
  <si>
    <t>Żelechów</t>
  </si>
  <si>
    <t>Wola Żelechowska</t>
  </si>
  <si>
    <t>kamola@pro.onet.pl</t>
  </si>
  <si>
    <t>NIEPUBLICZNA PORADNIA PSYCHOLOGICZNO-PEDAGOGICZNA W ZIELONEJ GÓRZE</t>
  </si>
  <si>
    <t>NIEPUBLICZNA PORADNIA PSYCHOLOGICZNO-PEDAGOGICZNA WCF W GOLINIE</t>
  </si>
  <si>
    <t>Golina</t>
  </si>
  <si>
    <t>NIEPUBLICZNA PORADNIA PSYCHOLOGICZNO-PEDAGOGICZNA WCF W ŚREMIE</t>
  </si>
  <si>
    <t>ul. Wschodnia</t>
  </si>
  <si>
    <t>srem@wcf.com.p</t>
  </si>
  <si>
    <t>NIEPUBLICZNA PORADNIA PSYCHOLOGICZNO-PEDAGOGICZNA WCF W WITASZYCZKACH</t>
  </si>
  <si>
    <t>jarociński</t>
  </si>
  <si>
    <t>Jarocin</t>
  </si>
  <si>
    <t>Witaszyczki</t>
  </si>
  <si>
    <t>NIEPUBLICZNA PORADNIA PSYCHOLOGICZNO-PEDAGOGICZNA WCZESNEGO WSPOMAGANIA ROZWOJU W PRZEMYŚLU</t>
  </si>
  <si>
    <t>wyb. Wybrzeże Ojca Świętego Jana Pawła II</t>
  </si>
  <si>
    <t>poradnia@psoni.przemysl.pl</t>
  </si>
  <si>
    <t>NIEPUBLICZNA PORADNIA PSYCHOLOGICZNO-PEDAGOGICZNA WINTOCH W WĘGROWIE</t>
  </si>
  <si>
    <t>biurko@beatawintoch.pl</t>
  </si>
  <si>
    <t>NIEPUBLICZNA PORADNIA PSYCHOLOGICZNO-PEDAGOGICZNA Z USMIECHEM</t>
  </si>
  <si>
    <t>Sędziszów</t>
  </si>
  <si>
    <t>Boleścice</t>
  </si>
  <si>
    <t>info@poradniazusmiechem.pl</t>
  </si>
  <si>
    <t>NIEPUBLICZNA PORADNIA PSYCHOLOGICZNO-PEDAGOGICZNA ZUZIA W JAŚLE</t>
  </si>
  <si>
    <t>ul. Karola Szajnochy</t>
  </si>
  <si>
    <t>jaslo@poradniazuzia.pl</t>
  </si>
  <si>
    <t>NIEPUBLICZNA PORADNIA PSYCHOLOGICZNO-PEDAGOGICZNA ZUZIA W MIELCU</t>
  </si>
  <si>
    <t>mielecki</t>
  </si>
  <si>
    <t>Mielec</t>
  </si>
  <si>
    <t>justyna@grupampd.pl</t>
  </si>
  <si>
    <t>NIEPUBLICZNA PORADNIA PSYCHOLOGICZNO-PEDAGOGICZNA ZUZIA W ROPCZYCACH</t>
  </si>
  <si>
    <t>Ropczyce</t>
  </si>
  <si>
    <t>ul. Najświętszej Marii Panny</t>
  </si>
  <si>
    <t>biuro@grupampd.pl</t>
  </si>
  <si>
    <t>NIEPUBLICZNA PORADNIA PSYCHOLOGICZNO-PEDAGOGICZNA ZUZIA W RZESZOWIE</t>
  </si>
  <si>
    <t>ul. Zawiszy Czarnego</t>
  </si>
  <si>
    <t>mariola@poradniazuzia.pl</t>
  </si>
  <si>
    <t>NIEPUBLICZNA PORADNIA PSYCHOLOGICZNO-PEDAGOGICZNA- CENTRUM PSYCHOTERAPII I ROZWOJU "LUSTRO"</t>
  </si>
  <si>
    <t>Biała Podlaska</t>
  </si>
  <si>
    <t>biuro@psycholog-online.info</t>
  </si>
  <si>
    <t>NIEPUBLICZNA PORADNIA PSYCHOLOGICZNO-PEDAGOGICZNA"SUKCES" W BIAŁOGARDZIE</t>
  </si>
  <si>
    <t>białogardzki</t>
  </si>
  <si>
    <t>Białogard</t>
  </si>
  <si>
    <t>NIEPUBLICZNA PORADNIA PSYCHOLOGICZO-PEDAGOGICZNA "SŁONECZKO" W SIEKIERKACH WIELKICH</t>
  </si>
  <si>
    <t>Siekierki Wielkie</t>
  </si>
  <si>
    <t>poradniasiekierki@gmail.com</t>
  </si>
  <si>
    <t>Swarzędz</t>
  </si>
  <si>
    <t>NIEPUBLICZNA PORADNIA SPECJALISTYCZNA CENTRUM EDUKACJI, TERAPII I REHABILITACJI</t>
  </si>
  <si>
    <t>ul. Starokrakowska</t>
  </si>
  <si>
    <t>poradnia@karuzela.org</t>
  </si>
  <si>
    <t>NIEPUBLICZNA PORADNIA SPECJALISTYCZNA CENTRUM PROGRES DANUTA STEMPOWSKA</t>
  </si>
  <si>
    <t>pracownia-poradnia@wp.pl</t>
  </si>
  <si>
    <t>NIEPUBLICZNA PORADNIA WCZESNEGO WSPOMAGANIA ROZWOJU</t>
  </si>
  <si>
    <t>ul. Pilicka</t>
  </si>
  <si>
    <t>owi@psoni.org.pl</t>
  </si>
  <si>
    <t>NIEPUBLICZNA PORADNIA WCZESNEGO WSPOMAGANIA ROZWOJU "LOLEK" W LUBLINIE</t>
  </si>
  <si>
    <t>ul. Ludomira Michała Rogowskiego</t>
  </si>
  <si>
    <t>lolek.psoni@gmail.com</t>
  </si>
  <si>
    <t>NIEPUBLICZNA PORADNIA WSPOMAGANIA ROZWOJU "PO DRODZE"</t>
  </si>
  <si>
    <t>ul. Jagiellońska</t>
  </si>
  <si>
    <t>podrodze@psoni.gda.pl</t>
  </si>
  <si>
    <t>NIEPUBLICZNA PORADNIA WSPOMAGANIA ROZWOJU DREAMLAB W SOPOCIE</t>
  </si>
  <si>
    <t>Sopot</t>
  </si>
  <si>
    <t>maja.cendrowicz@dreamlab.edu.pl</t>
  </si>
  <si>
    <t>NIEPUBLICZNA PORADNNIA PSYCHOLOGICZNO-PEDAGOGICZNA PRAXIS SP. Z O.O.</t>
  </si>
  <si>
    <t>ul. Marii Curie Skłodowskiej</t>
  </si>
  <si>
    <t>rejestracja.praxis.bydgoszcz@gmail.com</t>
  </si>
  <si>
    <t>NIEPUBLICZNA PORANIA PSYCHOLOGICZNO-PEDAGOGICZNA "PERSPEKTYWY KIDS"</t>
  </si>
  <si>
    <t>Trzyciąż</t>
  </si>
  <si>
    <t>Porąbka</t>
  </si>
  <si>
    <t>swietlicasmporabka@gmail.com</t>
  </si>
  <si>
    <t>NIEPUBLICZNA SPECJALISTYCZNA PORADNIA CENTRUM TERAPII I REHABILITACJI ELŻBIETA JOB</t>
  </si>
  <si>
    <t>pszczyński</t>
  </si>
  <si>
    <t>Pawłowice</t>
  </si>
  <si>
    <t>ul. Zjednoczenia</t>
  </si>
  <si>
    <t>e.a.molska@wp.pl</t>
  </si>
  <si>
    <t>NIEPUBLICZNA SPECJALISTYCZNA PORADNIA PEDAGOGICZNO-PSYCHOLOGICZNA</t>
  </si>
  <si>
    <t>ul. Aleja Legionów</t>
  </si>
  <si>
    <t>aneta.bilos@op.pl</t>
  </si>
  <si>
    <t>NIEPUBLICZNA SPECJALISTYCZNA PORADNIA PSYCHOLOGICZNO - PEDAGOGICZNA "BURSZTYNEK</t>
  </si>
  <si>
    <t>ul. Targowa</t>
  </si>
  <si>
    <t>dorota.placzek@wp.pl</t>
  </si>
  <si>
    <t>NIEPUBLICZNA SPECJALISTYCZNA PORADNIA PSYCHOLOGICZNO - PEDAGOGICZNA "ROZWIJANKA"</t>
  </si>
  <si>
    <t>ul. Bednarka</t>
  </si>
  <si>
    <t>zapisy@rozwijanka.pl</t>
  </si>
  <si>
    <t>NIEPUBLICZNA SPECJALISTYCZNA PORADNIA PSYCHOLOGICZNO - PEDAGOGICZNA "RYBKA"</t>
  </si>
  <si>
    <t>klaudiaszumanska1@gmail.com</t>
  </si>
  <si>
    <t>NIEPUBLICZNA SPECJALISTYCZNA PORADNIA PSYCHOLOGICZNO- PEDAGOGICZNA CENTRUM PRO LIBERIS</t>
  </si>
  <si>
    <t>dkolodziejczyk111@interia.pl</t>
  </si>
  <si>
    <t>NIEPUBLICZNA SPECJALISTYCZNA PORADNIA PSYCHOLOGICZNO-LOGOPEDYCZNA CENTRUM "MAVICUS"</t>
  </si>
  <si>
    <t>ul. Łagiewnicka</t>
  </si>
  <si>
    <t>agawrzesiak@op.pl</t>
  </si>
  <si>
    <t>NIEPUBLICZNA SPECJALISTYCZNA PORADNIA PSYCHOLOGICZNO-PEDAGOGICZNA</t>
  </si>
  <si>
    <t>łukowski</t>
  </si>
  <si>
    <t>Krzywda</t>
  </si>
  <si>
    <t>poradniaterapeutyczna@wp.pl</t>
  </si>
  <si>
    <t>ul. Żołnierzy 8. Dywizji</t>
  </si>
  <si>
    <t>pctp@hot.pl</t>
  </si>
  <si>
    <t>NIEPUBLICZNA SPECJALISTYCZNA PORADNIA PSYCHOLOGICZNO-PEDAGOGICZNA "AGAJA"</t>
  </si>
  <si>
    <t>ul. Wielicka</t>
  </si>
  <si>
    <t>gabinet@agaja.pl</t>
  </si>
  <si>
    <t>NIEPUBLICZNA SPECJALISTYCZNA PORADNIA PSYCHOLOGICZNO-PEDAGOGICZNA "ALA I AS"</t>
  </si>
  <si>
    <t>nsppp.alaias@gmail.com</t>
  </si>
  <si>
    <t>NIEPUBLICZNA SPECJALISTYCZNA PORADNIA PSYCHOLOGICZNO-PEDAGOGICZNA "BŁĘKITNA ŻYRAFA"</t>
  </si>
  <si>
    <t>ul. Telesfora</t>
  </si>
  <si>
    <t>biuro@blekitnazyrafa.pl</t>
  </si>
  <si>
    <t>opolski</t>
  </si>
  <si>
    <t>NIEPUBLICZNA SPECJALISTYCZNA PORADNIA PSYCHOLOGICZNO-PEDAGOGICZNA "BURSZTYNEK"</t>
  </si>
  <si>
    <t>ul. Rynek</t>
  </si>
  <si>
    <t>NIEPUBLICZNA SPECJALISTYCZNA PORADNIA PSYCHOLOGICZNO-PEDAGOGICZNA "CENTRUM ROZWOJU" DAWID KOŁODZIEJCZYK"</t>
  </si>
  <si>
    <t>NIEPUBLICZNA SPECJALISTYCZNA PORADNIA PSYCHOLOGICZNO-PEDAGOGICZNA "CENTRUM TERAPII DZIECI, MŁODZIEŻY I RODZIN MINDHEALTH"</t>
  </si>
  <si>
    <t>jaroslaw.podlesny@damian.pl</t>
  </si>
  <si>
    <t>NIEPUBLICZNA SPECJALISTYCZNA PORADNIA PSYCHOLOGICZNO-PEDAGOGICZNA "CENTRUM WSPIERANIA ROZWOJU CZŁOWIEKA"</t>
  </si>
  <si>
    <t>ul. Klasztorna</t>
  </si>
  <si>
    <t>NIEPUBLICZNA SPECJALISTYCZNA PORADNIA PSYCHOLOGICZNO-PEDAGOGICZNA "CLIRO" W OPOLU</t>
  </si>
  <si>
    <t>ul. Śląska</t>
  </si>
  <si>
    <t>cliro@cliro.pl</t>
  </si>
  <si>
    <t>NIEPUBLICZNA SPECJALISTYCZNA PORADNIA PSYCHOLOGICZNO-PEDAGOGICZNA "DOBRE MIEJSCE"</t>
  </si>
  <si>
    <t>gliwicki</t>
  </si>
  <si>
    <t>Knurów</t>
  </si>
  <si>
    <t>ul. Niepodległości</t>
  </si>
  <si>
    <t>biuro@nsppp.pl</t>
  </si>
  <si>
    <t>NIEPUBLICZNA SPECJALISTYCZNA PORADNIA PSYCHOLOGICZNO-PEDAGOGICZNA "ISTMUS" W RZESZOWIE</t>
  </si>
  <si>
    <t>ul. Teofila Aleksandra Lenartowicza</t>
  </si>
  <si>
    <t>NIEPUBLICZNA SPECJALISTYCZNA PORADNIA PSYCHOLOGICZNO-PEDAGOGICZNA "PROMYK SŁOŃCA"</t>
  </si>
  <si>
    <t>ul. Swobodna</t>
  </si>
  <si>
    <t>poradnia@promykslonca.pl</t>
  </si>
  <si>
    <t>NIEPUBLICZNA SPECJALISTYCZNA PORADNIA PSYCHOLOGICZNO-PEDAGOGICZNA "PRZYSTANEK PORADNIA"</t>
  </si>
  <si>
    <t>ul. Prądnicka</t>
  </si>
  <si>
    <t>biuro@przystanek-poradnia.pl</t>
  </si>
  <si>
    <t>NIEPUBLICZNA SPECJALISTYCZNA PORADNIA PSYCHOLOGICZNO-PEDAGOGICZNA "SOKOŁOWSKA"</t>
  </si>
  <si>
    <t>i.janus@interia.pl</t>
  </si>
  <si>
    <t>NIEPUBLICZNA SPECJALISTYCZNA PORADNIA PSYCHOLOGICZNO-PEDAGOGICZNA "SYNAPSA" MAGDALENA FELIŃSKA W ŚWIDWINIE</t>
  </si>
  <si>
    <t>ul. ks. Jerzego Popiełuszki</t>
  </si>
  <si>
    <t>mfelinska.logopeda@gmail.com</t>
  </si>
  <si>
    <t>NIEPUBLICZNA SPECJALISTYCZNA PORADNIA PSYCHOLOGICZNO-PEDAGOGICZNA "SZKOŁA TALENTÓW EDUPRIMO"</t>
  </si>
  <si>
    <t>ul. Sodowa</t>
  </si>
  <si>
    <t>sklep@edomo.pl</t>
  </si>
  <si>
    <t>NIEPUBLICZNA SPECJALISTYCZNA PORADNIA PSYCHOLOGICZNO-PEDAGOGICZNA "TĘCZA" W SZCZECINIE</t>
  </si>
  <si>
    <t>ul. ks. Piotra Wawrzyniaka</t>
  </si>
  <si>
    <t>tecza@tecza.org.pl</t>
  </si>
  <si>
    <t>NIEPUBLICZNA SPECJALISTYCZNA PORADNIA PSYCHOLOGICZNO-PEDAGOGICZNA "TĘCZOWA KRAINA"</t>
  </si>
  <si>
    <t>ciechanowski</t>
  </si>
  <si>
    <t>Ciechanów</t>
  </si>
  <si>
    <t>biuro@teczowa-kraina.eu</t>
  </si>
  <si>
    <t>NIEPUBLICZNA SPECJALISTYCZNA PORADNIA PSYCHOLOGICZNO-PEDAGOGICZNA "TOTORO"</t>
  </si>
  <si>
    <t>ul. Lotnicza</t>
  </si>
  <si>
    <t>biuro@poradniatotoro.pl</t>
  </si>
  <si>
    <t>NIEPUBLICZNA SPECJALISTYCZNA PORADNIA PSYCHOLOGICZNO-PEDAGOGICZNA ARKA JUSTYNA SOŁTYS-MAJCHERCZAK</t>
  </si>
  <si>
    <t>al. Jerzego Szajnowicza-Iwanowa</t>
  </si>
  <si>
    <t>poradnia.arka@gmail.com</t>
  </si>
  <si>
    <t>NIEPUBLICZNA SPECJALISTYCZNA PORADNIA PSYCHOLOGICZNO-PEDAGOGICZNA CENTRUM DIAGNOSTYKI I TERAPII IN CORPORE</t>
  </si>
  <si>
    <t>ul. Stoczniowców</t>
  </si>
  <si>
    <t>info@centrumincorpore.pl</t>
  </si>
  <si>
    <t>ul. Bażantów</t>
  </si>
  <si>
    <t>ul. Kardynała Stefana Wyszyńskiego</t>
  </si>
  <si>
    <t>dabrowa@centrumincorpore.pl</t>
  </si>
  <si>
    <t>NIEPUBLICZNA SPECJALISTYCZNA PORADNIA PSYCHOLOGICZNO-PEDAGOGICZNA CENTRUM PRO LIBERIS</t>
  </si>
  <si>
    <t>ul. Wałbrzyska</t>
  </si>
  <si>
    <t>NIEPUBLICZNA SPECJALISTYCZNA PORADNIA PSYCHOLOGICZNO-PEDAGOGICZNA CRESCO</t>
  </si>
  <si>
    <t>ul. Łużycka</t>
  </si>
  <si>
    <t>poradnia@cresco.edu.pl</t>
  </si>
  <si>
    <t>NIEPUBLICZNA SPECJALISTYCZNA PORADNIA PSYCHOLOGICZNO-PEDAGOGICZNA DLA OSÓB AUTYSTYCZNYCH I O CECHACH AUTYZMU</t>
  </si>
  <si>
    <t>ul. Kanałowa</t>
  </si>
  <si>
    <t>NIEPUBLICZNA SPECJALISTYCZNA PORADNIA PSYCHOLOGICZNO-PEDAGOGICZNA FUNDACJI ODKRYWCY</t>
  </si>
  <si>
    <t>nyski</t>
  </si>
  <si>
    <t>Nysa</t>
  </si>
  <si>
    <t>ul. Tkacka</t>
  </si>
  <si>
    <t>kontakt@fundacjaodkrywcy.pl</t>
  </si>
  <si>
    <t>NIEPUBLICZNA SPECJALISTYCZNA PORADNIA PSYCHOLOGICZNO-PEDAGOGICZNA INTEGRARE</t>
  </si>
  <si>
    <t>biuro@logopeda-gliwice.pl</t>
  </si>
  <si>
    <t>NIEPUBLICZNA SPECJALISTYCZNA PORADNIA PSYCHOLOGICZNO-PEDAGOGICZNA KATARZYNA GŁADOSZ W SANDOMIERZU</t>
  </si>
  <si>
    <t>ul. Marii Skłodowskiej-Curie</t>
  </si>
  <si>
    <t>nsppp.sandomierz@gmail.com</t>
  </si>
  <si>
    <t>NIEPUBLICZNA SPECJALISTYCZNA PORADNIA PSYCHOLOGICZNO-PEDAGOGICZNA NR 1</t>
  </si>
  <si>
    <t>ul. Nawojowska</t>
  </si>
  <si>
    <t>malopolskafundacjap@gmail.com</t>
  </si>
  <si>
    <t>NIEPUBLICZNA SPECJALISTYCZNA PORADNIA PSYCHOLOGICZNO-PEDAGOGICZNA OŚRODKA DIAGNOZY I REHABILITACJI DZIECI I MŁODZIEŻY Z WADĄ SŁUCHU PZG</t>
  </si>
  <si>
    <t>al. Aleja Niepodległości</t>
  </si>
  <si>
    <t>pzg_czwadzieci@op.pl</t>
  </si>
  <si>
    <t>NIEPUBLICZNA SPECJALISTYCZNA PORADNIA PSYCHOLOGICZNO-PEDAGOGICZNA PERSEVERE</t>
  </si>
  <si>
    <t>ul. Kępowa</t>
  </si>
  <si>
    <t>info@persevere.org.pl</t>
  </si>
  <si>
    <t>NIEPUBLICZNA SPECJALISTYCZNA PORADNIA PSYCHOLOGICZNO-PEDAGOGICZNA PROGRESJA TWP W LUBLINIE</t>
  </si>
  <si>
    <t>ul. Hanki Ordonówny</t>
  </si>
  <si>
    <t>progresja.poradnia@gmail.com</t>
  </si>
  <si>
    <t>NIEPUBLICZNA SPECJALISTYCZNA PORADNIA PSYCHOLOGICZNO-PEDAGOGICZNA S.O.S</t>
  </si>
  <si>
    <t>ul. Aleja Przyjaciół</t>
  </si>
  <si>
    <t>biuro@poradniasos.pl</t>
  </si>
  <si>
    <t>NIEPUBLICZNA SPECJALISTYCZNA PORADNIA PSYCHOLOGICZNO-PEDAGOGICZNA TOWARZYSTWA WIEDZY POWSZECHNEJ ODDZIAŁ REGIONALNY W ZGORZELCU</t>
  </si>
  <si>
    <t>ul. Dionizego Czachowskiego</t>
  </si>
  <si>
    <t>niepublicznaporadniatwp@wp.pl</t>
  </si>
  <si>
    <t>NIEPUBLICZNA SPECJALISTYCZNA PORADNIA PSYCHOLOGICZNO-PEDAGOGICZNA W BOLESŁAWCU</t>
  </si>
  <si>
    <t>bolesławiecki</t>
  </si>
  <si>
    <t>Bolesławiec</t>
  </si>
  <si>
    <t>ul. Bankowa</t>
  </si>
  <si>
    <t>kontakt@aurelus.edu.pl</t>
  </si>
  <si>
    <t>NIEPUBLICZNA SPECJALISTYCZNA PORADNIA PSYCHOLOGICZNO-PEDAGOGICZNA W GRÓJCU</t>
  </si>
  <si>
    <t>grójecki</t>
  </si>
  <si>
    <t>Grójec</t>
  </si>
  <si>
    <t>ul. Sybiraków</t>
  </si>
  <si>
    <t>pulo@list.pl</t>
  </si>
  <si>
    <t>NIEPUBLICZNA SPECJALISTYCZNA PORADNIA PSYCHOLOGICZNO-PEDAGOGICZNA W OSTROŁĘCE</t>
  </si>
  <si>
    <t>niepubliczna-poradnia@wp.pl</t>
  </si>
  <si>
    <t>NIEPUBLICZNA SPECJALISTYCZNA PORADNIA PSYCHOLOGICZNO-PEDAGOGICZNA W SŁUPSKU</t>
  </si>
  <si>
    <t>sponautyzm@gmail.com</t>
  </si>
  <si>
    <t>NIEPUBLICZNA SPECJALISTYCZNA PORADNIA PSYCHOLOGICZNO-PEDAGOGICZNA W SZAMOTUŁACH</t>
  </si>
  <si>
    <t>szamotulski</t>
  </si>
  <si>
    <t>Szamotuły</t>
  </si>
  <si>
    <t>ul. Szczuczyńska</t>
  </si>
  <si>
    <t>krystyna.akra@vp.pl</t>
  </si>
  <si>
    <t>NIEPUBLICZNA SPECJALISTYCZNA PORADNIA PSYCHOLOGICZNO-PEDAGOGICZNA W WADOWICACH</t>
  </si>
  <si>
    <t>Wadowice</t>
  </si>
  <si>
    <t>ul. Kochanowskiego</t>
  </si>
  <si>
    <t>poradnia@dacszanse.pl</t>
  </si>
  <si>
    <t>NIEPUBLICZNA SPECJALISTYCZNA PORADNIA REWALIDACYJNA</t>
  </si>
  <si>
    <t>Poniatowa</t>
  </si>
  <si>
    <t>ul. Młodzieżowa</t>
  </si>
  <si>
    <t>nspr.poniatowa@o2.pl</t>
  </si>
  <si>
    <t>NIEPUBLICZNA SPECJALISTYCZNA PORADNIA WCZESNEGO WSPOMAGANIA ROZWOJU</t>
  </si>
  <si>
    <t>ul. Wojsławska</t>
  </si>
  <si>
    <t>mielecjezyk@onet.pl</t>
  </si>
  <si>
    <t>NIEPUBLICZNA SPECJALISTYCZNA PORADNIA WCZESNEGO WSPOMAGANIA ROZWOJU "TĘCZA"</t>
  </si>
  <si>
    <t>ul. Nowolipie</t>
  </si>
  <si>
    <t>tecza@idn.org.pl</t>
  </si>
  <si>
    <t>NIEPUBLICZNA SPECJALISTYCZNA PORADNIA WCZESNEGO WSPOMAGANIA ROZWOJU DZIECKA</t>
  </si>
  <si>
    <t>ul. Dobrzyńska</t>
  </si>
  <si>
    <t>sekretariat@wzsoz.wroc.pl</t>
  </si>
  <si>
    <t>sekretariat@szpital.walbrzych.pl</t>
  </si>
  <si>
    <t>NIEPUBLICZNA SPECJALISTYCZNA PORADNIA WCZESNEGO WSPOMAGANIA ROZWOJU DZIECKA W JAROSŁAWIU</t>
  </si>
  <si>
    <t>jarosławski</t>
  </si>
  <si>
    <t>Jarosław</t>
  </si>
  <si>
    <t>ul. 3-go Maja</t>
  </si>
  <si>
    <t>nspwwrd@psoni-jaroslaw.org.pl</t>
  </si>
  <si>
    <t>NIEPUBLICZNA SPECJALISTYCZNA PORADNIA WCZESNEGO WSPOMAGANIA ROZWOJU W RZESZOWIE</t>
  </si>
  <si>
    <t>ul. Emilii Plater</t>
  </si>
  <si>
    <t>ciwinski@poczta.onet.pl</t>
  </si>
  <si>
    <t>NIEPUBLICZNA WIELOSPECJALISTYCZNA PORADNIA PSYCHOLOGICZNO-PEDAGOGICZNA ISKIERKA</t>
  </si>
  <si>
    <t>rehabilitacja.iskierka@gmail.com</t>
  </si>
  <si>
    <t>NIEPUBLICZNE CENTRUM TERAPEUTYCZNO-EDUKACYJNE "BUCCA"</t>
  </si>
  <si>
    <t>os. Osiedle Sikorskiego</t>
  </si>
  <si>
    <t>aaosiadly@gmail.com</t>
  </si>
  <si>
    <t>NIEPULICZNA PORADNIA PSYCHOLOGICZNO - PEDAGOGICZNA NOVAMED W BRODNICY</t>
  </si>
  <si>
    <t>brodnicki</t>
  </si>
  <si>
    <t>Brodnica</t>
  </si>
  <si>
    <t>ul. Cicha</t>
  </si>
  <si>
    <t>nppp@novamed-brodnica.pl</t>
  </si>
  <si>
    <t>NOWATORSKA PORADNIA PSYCHOLOGICZNO-PEDAGOGICZNA</t>
  </si>
  <si>
    <t>Kaputy</t>
  </si>
  <si>
    <t>ul. Sochaczewska</t>
  </si>
  <si>
    <t>biuro@nowatorska.edu.pl</t>
  </si>
  <si>
    <t>OŚRODEK POMOCY PSYCHOLOGICZNEJ I PSYCHOEDUKACJI</t>
  </si>
  <si>
    <t>ul. Filaretów</t>
  </si>
  <si>
    <t>OŚRODEK POMOCY PSYCHOLOGICZNO-PEDAGOGICZNEJ "UŚMIECH"</t>
  </si>
  <si>
    <t>ul. Wenecja</t>
  </si>
  <si>
    <t>usmiech@usmiechkrakow.pl</t>
  </si>
  <si>
    <t>OŚRODEK PROFILAKTYKI ŚRODOWISKOWEJ AGENCJI DORADZTWA ZAWODOWEGO "AD"W LUBLINIE</t>
  </si>
  <si>
    <t>ul. Radości</t>
  </si>
  <si>
    <t>OŚRODEK PSYCHOPROFILAKTYKI</t>
  </si>
  <si>
    <t>OŚRODEK REHABILITACYJNO - EDUKACYJNY "AMI" - NIEPUBLICZNA PORADNIA PSYCHOLOGICZNO PEDAGOGICZNA W ZDUŃSKIEJ WOLI</t>
  </si>
  <si>
    <t>ul. Getta Żydowskiego</t>
  </si>
  <si>
    <t>fundacja.ami@ami.org.pl</t>
  </si>
  <si>
    <t>OŚRODEK REHABILITACYJNO-EDUKACYJNY AMI NR 2 - NIEPUBLICZNA PORADNIA PSYCHOLOGICZNO-PEDAGOGICZNA</t>
  </si>
  <si>
    <t>ul. Warcka</t>
  </si>
  <si>
    <t>PAPLA NIEPUBLICZNA PORADNIA PSYCHOLOGICZNO-PEDAGOGICZNA</t>
  </si>
  <si>
    <t>papla.poradnia@gmail.com</t>
  </si>
  <si>
    <t>PERCEPCJA NIEPUBLICZNA PORADNIA PSYCHOLOGICZNO-PEDAGOGICZNA</t>
  </si>
  <si>
    <t>ul. Patriotów</t>
  </si>
  <si>
    <t>poradnia.info@gmail.pl</t>
  </si>
  <si>
    <t>PIERWSZA NIEPUBLICZNA PORADNIA PSYCHOLOGICZNA-PEDAGOGICZNA NEURONEK W EŁKU</t>
  </si>
  <si>
    <t>ełcki</t>
  </si>
  <si>
    <t>Ełk</t>
  </si>
  <si>
    <t>ul. Matki Teresy z Kalkuty</t>
  </si>
  <si>
    <t>mjk.logoaudio@gmail.com</t>
  </si>
  <si>
    <t>PIERWSZA NIEPUBLICZNA PORADNIA PSYCHOLOGICZNO-PEDAGOGICZNA MODUS-CENTRUM ROZWOJU OSOBISTEGO</t>
  </si>
  <si>
    <t>biuro@neurologopeda.lebork.pl</t>
  </si>
  <si>
    <t>PIERWSZA NIEPUBLICZNA PORADNIA PSYCHOLOGICZNO-PEDAGOGICZNA W ŻUKOWIE</t>
  </si>
  <si>
    <t>poradniazukowo@wp.pl</t>
  </si>
  <si>
    <t>PLAZAMED</t>
  </si>
  <si>
    <t>ul. Zagnańska</t>
  </si>
  <si>
    <t>agnieszkascendo@gmail.com</t>
  </si>
  <si>
    <t>POLSKIE TOWARZYSTWO DYSLEKSJI PORADNIA DIAGNOSTYCZNO-TERAPEUTYCZNA</t>
  </si>
  <si>
    <t>al. Aleja Legionów</t>
  </si>
  <si>
    <t>ptd.poradnia@gmail.com</t>
  </si>
  <si>
    <t>POMORSKA PORADNIA PSYCHOLOGICZNO-PEDAGOGICZNA</t>
  </si>
  <si>
    <t>ul. Cypriana Kamila Norwida</t>
  </si>
  <si>
    <t>malgorzatahebel@poradniapsychologiczna.edu.pl</t>
  </si>
  <si>
    <t>POMORSKA SPECJALISTYCZNA PORADNIA PSYCHOLOGICZNO-PEDAGOGICZNA</t>
  </si>
  <si>
    <t>Banino</t>
  </si>
  <si>
    <t>pce@onet.pl</t>
  </si>
  <si>
    <t>PORADNIA DIAGNOSTYCZNO-TERAPEUTYCZNA WIOLETTA MAŚLUK-GĄSIOROWSKA</t>
  </si>
  <si>
    <t>rondo marsz. Józefa Piłsudskiego</t>
  </si>
  <si>
    <t>wioletta.gasiorowska@wp.pl</t>
  </si>
  <si>
    <t>PORADNIA DORADZTWA ZAWODOWEGO I POMOCY PSYCHOLOGICZNO-PEDAGOGICZNEJ W ELBLĄGU</t>
  </si>
  <si>
    <t>ul. Garnizonowa</t>
  </si>
  <si>
    <t>poradniapim@wp.pl</t>
  </si>
  <si>
    <t>PORADNIA LOGOPEDYCZNA TURKOT</t>
  </si>
  <si>
    <t>ul. Kamionkowska</t>
  </si>
  <si>
    <t>biuro@poradniaturkot.pl</t>
  </si>
  <si>
    <t>PORADNIA PROFILAKTYCZNO TERAPEUTYCZNA</t>
  </si>
  <si>
    <t>ul. Węgierska</t>
  </si>
  <si>
    <t>profilak@zg.home.pl</t>
  </si>
  <si>
    <t>PORADNIA PSYCHOLOGICZN0 - PEDAGOGICZNA</t>
  </si>
  <si>
    <t>świecki</t>
  </si>
  <si>
    <t>Świecie</t>
  </si>
  <si>
    <t>poradnia@ppp.csw.pl</t>
  </si>
  <si>
    <t>PORADNIA PSYCHOLOGICZNA - PEDAGOGICZNA "POMORSKA"</t>
  </si>
  <si>
    <t>aga.kabala@hot.pl</t>
  </si>
  <si>
    <t>PORADNIA PSYCHOLOGICZNA POLSKIEGO TOWARZYSTWA DYSLEKSJI</t>
  </si>
  <si>
    <t>ul. Mogilska</t>
  </si>
  <si>
    <t>olga.pelc@wp.pl</t>
  </si>
  <si>
    <t>PORADNIA PSYCHOLOGICZNA-PEDAGOGICZNA W WAŁCZU</t>
  </si>
  <si>
    <t>ul. Południowa</t>
  </si>
  <si>
    <t>pppwalcz@o2.pl</t>
  </si>
  <si>
    <t>PORADNIA PSYCHOLOGICZNA-PEDAGOGICZNA W ŻUROMINIE</t>
  </si>
  <si>
    <t>żuromiński</t>
  </si>
  <si>
    <t>Żuromin</t>
  </si>
  <si>
    <t>ul. Olszewska</t>
  </si>
  <si>
    <t>ppp.zuromin@wp.pl</t>
  </si>
  <si>
    <t>PORADNIA PSYCHOLOGICZNO - PEDAGOGICZNA</t>
  </si>
  <si>
    <t>żagański</t>
  </si>
  <si>
    <t>Szprotawa</t>
  </si>
  <si>
    <t>ul. Sobieskiego</t>
  </si>
  <si>
    <t>poradpp@gmail.com</t>
  </si>
  <si>
    <t>Żagań</t>
  </si>
  <si>
    <t>ul. Bałtycka</t>
  </si>
  <si>
    <t>pppgrodzisk@powiat-grodziski.pl</t>
  </si>
  <si>
    <t>radziejowski</t>
  </si>
  <si>
    <t>Radziejów</t>
  </si>
  <si>
    <t>poradnia_psych@poczta.onet.pl</t>
  </si>
  <si>
    <t>sekretariat@poradnia-ostrow.pl</t>
  </si>
  <si>
    <t>bartoszycki</t>
  </si>
  <si>
    <t>Bartoszyce</t>
  </si>
  <si>
    <t>ul. Limanowskiego</t>
  </si>
  <si>
    <t>pppbce@o2.pl</t>
  </si>
  <si>
    <t>Bytom</t>
  </si>
  <si>
    <t>pl. Klasztorny</t>
  </si>
  <si>
    <t>sekretariat@ppp.bytom.pl</t>
  </si>
  <si>
    <t>PORADNIA PSYCHOLOGICZNO - PEDAGOGICZNA "OSIEK"</t>
  </si>
  <si>
    <t>ul. Osiek</t>
  </si>
  <si>
    <t>sekretariat.poradnia@gfo.pl</t>
  </si>
  <si>
    <t>PORADNIA PSYCHOLOGICZNO - PEDAGOGICZNA "VITAMED"</t>
  </si>
  <si>
    <t>ul. Ogniowa</t>
  </si>
  <si>
    <t>biuro@vitamedkids.pl</t>
  </si>
  <si>
    <t>PORADNIA PSYCHOLOGICZNO - PEDAGOGICZNA AXON W BIELSKU PODLASKIM</t>
  </si>
  <si>
    <t>ul. Zamkowa</t>
  </si>
  <si>
    <t>sekretariat@axoncem.pl</t>
  </si>
  <si>
    <t>PORADNIA PSYCHOLOGICZNO - PEDAGOGICZNA AXON W SOKÓŁCE</t>
  </si>
  <si>
    <t>poradniasokolka@axoncem.pl</t>
  </si>
  <si>
    <t>PORADNIA PSYCHOLOGICZNO - PEDAGOGICZNA IM. STEFANA SZUMANA W BOCHNI</t>
  </si>
  <si>
    <t>ul. gen. Henryka Dąbrowskiego</t>
  </si>
  <si>
    <t>ppp@powiat.bochnia.pl</t>
  </si>
  <si>
    <t>PORADNIA PSYCHOLOGICZNO - PEDAGOGICZNA NR 1</t>
  </si>
  <si>
    <t>ul. Złota</t>
  </si>
  <si>
    <t>sekretariat.ppp1@eduwarszawa.pl</t>
  </si>
  <si>
    <t>PORADNIA PSYCHOLOGICZNO - PEDAGOGICZNA NR 1 W ELBLĄGU</t>
  </si>
  <si>
    <t>ul. Słoneczna</t>
  </si>
  <si>
    <t>ppp1@elblag.eu</t>
  </si>
  <si>
    <t>PORADNIA PSYCHOLOGICZNO - PEDAGOGICZNA NR 1 W ŁOMŻY</t>
  </si>
  <si>
    <t>ul. Szosa Zambrowska</t>
  </si>
  <si>
    <t>ppp1@powiatlomzynski.pl</t>
  </si>
  <si>
    <t>PORADNIA PSYCHOLOGICZNO - PEDAGOGICZNA NR 1 W RADOMIU</t>
  </si>
  <si>
    <t>sekretariat@ppp1.radom.pl</t>
  </si>
  <si>
    <t>PORADNIA PSYCHOLOGICZNO - PEDAGOGICZNA NR 11</t>
  </si>
  <si>
    <t>al. Aleje Jerozolimskie</t>
  </si>
  <si>
    <t>ppp11@eduwarszawa.pl</t>
  </si>
  <si>
    <t>PORADNIA PSYCHOLOGICZNO - PEDAGOGICZNA NR 12</t>
  </si>
  <si>
    <t>poradnia.ppp12@eduwarszawa.pl</t>
  </si>
  <si>
    <t>PORADNIA PSYCHOLOGICZNO - PEDAGOGICZNA NR 2 W ELBLĄGU</t>
  </si>
  <si>
    <t>ul. Kosynierów Gdyńskich</t>
  </si>
  <si>
    <t>ppp2@elblag.eu</t>
  </si>
  <si>
    <t>PORADNIA PSYCHOLOGICZNO - PEDAGOGICZNA NR 2 W ŁOMŻY</t>
  </si>
  <si>
    <t>ppplomza@poczta.onet.pl</t>
  </si>
  <si>
    <t>PORADNIA PSYCHOLOGICZNO - PEDAGOGICZNA NR 2 W RADOMIU</t>
  </si>
  <si>
    <t>ul. Kujawska</t>
  </si>
  <si>
    <t>sekretariat@ppp2.radom.pl</t>
  </si>
  <si>
    <t>PORADNIA PSYCHOLOGICZNO - PEDAGOGICZNA NR 2 W ZAWIERCIU</t>
  </si>
  <si>
    <t>ul. Macieja Rataja</t>
  </si>
  <si>
    <t>sekretariatppp2@zss.zawiercie.powiat.pl</t>
  </si>
  <si>
    <t>PORADNIA PSYCHOLOGICZNO - PEDAGOGICZNA NR 24 W WARSZAWIE, AL. RZECZYPOSPOLITEJ 14</t>
  </si>
  <si>
    <t>kontakt.ppp24@eduwarszawa.pl</t>
  </si>
  <si>
    <t>PORADNIA PSYCHOLOGICZNO - PEDAGOGICZNA NR 3 W RADOMIU</t>
  </si>
  <si>
    <t>ul. Główna</t>
  </si>
  <si>
    <t>poradnia@ppp3.radom.pl</t>
  </si>
  <si>
    <t>PORADNIA PSYCHOLOGICZNO - PEDAGOGICZNA NR 7 W LUBLINIE</t>
  </si>
  <si>
    <t>ppp7wlublinie@powiat.lublin.pl</t>
  </si>
  <si>
    <t>PORADNIA PSYCHOLOGICZNO - PEDAGOGICZNA PRZYLĄDEK NADZIEI</t>
  </si>
  <si>
    <t>ul. Tomasza Nocznickiego</t>
  </si>
  <si>
    <t>polkowicki</t>
  </si>
  <si>
    <t>Polkowice</t>
  </si>
  <si>
    <t>PORADNIA PSYCHOLOGICZNO - PEDAGOGICZNA SOWA</t>
  </si>
  <si>
    <t>centrum.sowa.lebork@gmail.com</t>
  </si>
  <si>
    <t>PORADNIA PSYCHOLOGICZNO - PEDAGOGICZNA W ALEKSANDROWIE KUJAWSKIM</t>
  </si>
  <si>
    <t>aleksandrowski</t>
  </si>
  <si>
    <t>Aleksandrów Kujawski</t>
  </si>
  <si>
    <t>pppc.sekretariat@aleksandrow.pl</t>
  </si>
  <si>
    <t>PORADNIA PSYCHOLOGICZNO - PEDAGOGICZNA W ALEKSANDROWIE ŁÓDZKIM</t>
  </si>
  <si>
    <t>ul. Piotrkowska</t>
  </si>
  <si>
    <t>kontakt@pppaleksandrow.pl</t>
  </si>
  <si>
    <t>PORADNIA PSYCHOLOGICZNO - PEDAGOGICZNA W BEŁŻYCACH</t>
  </si>
  <si>
    <t>Bełżyce</t>
  </si>
  <si>
    <t>ppp.belzyce@powiat.lublin.pl</t>
  </si>
  <si>
    <t>PORADNIA PSYCHOLOGICZNO - PEDAGOGICZNA W BIAŁOGARDZIE</t>
  </si>
  <si>
    <t>pppbialogard@poczta.onet.pl</t>
  </si>
  <si>
    <t>PORADNIA PSYCHOLOGICZNO - PEDAGOGICZNA W BRODNICY</t>
  </si>
  <si>
    <t>ul. J. Kochanowskiego</t>
  </si>
  <si>
    <t>sekretariat@pppbrodnica.pl</t>
  </si>
  <si>
    <t>PORADNIA PSYCHOLOGICZNO - PEDAGOGICZNA W BYCHAWIE</t>
  </si>
  <si>
    <t>Bychawa</t>
  </si>
  <si>
    <t>ppp.bychawa@powiat.lublin.pl</t>
  </si>
  <si>
    <t>PORADNIA PSYCHOLOGICZNO - PEDAGOGICZNA W CIESZYNIE ZESPOŁU PORADNI PSYCHOLOGICZNO - PEDAGOGICZNYCH W CIESZYNIE</t>
  </si>
  <si>
    <t>ul. Ignacego Kraszewskiego</t>
  </si>
  <si>
    <t>sekretariat@zppp.cieszyn.pl</t>
  </si>
  <si>
    <t>PORADNIA PSYCHOLOGICZNO - PEDAGOGICZNA W CZERWINIE</t>
  </si>
  <si>
    <t>Czerwin</t>
  </si>
  <si>
    <t>biuro@poradniawczerwinie.edu.pl</t>
  </si>
  <si>
    <t>PORADNIA PSYCHOLOGICZNO - PEDAGOGICZNA W CZŁUCHOWIE</t>
  </si>
  <si>
    <t>poradnia@ppp.czluchow.org.pl</t>
  </si>
  <si>
    <t>PORADNIA PSYCHOLOGICZNO - PEDAGOGICZNA W DĄBROWIE BIAŁOSTOCKIEJ</t>
  </si>
  <si>
    <t>Dąbrowa Białostocka</t>
  </si>
  <si>
    <t>ul. Tysiąclecia Państwa Polskiego</t>
  </si>
  <si>
    <t>pppdabrowabial@wp.pl</t>
  </si>
  <si>
    <t>PORADNIA PSYCHOLOGICZNO - PEDAGOGICZNA W DĄBROWIE GÓRNICZEJ</t>
  </si>
  <si>
    <t>sekretariat@ppp.dg.pl</t>
  </si>
  <si>
    <t>PORADNIA PSYCHOLOGICZNO - PEDAGOGICZNA W DĘBLINIE</t>
  </si>
  <si>
    <t>rycki</t>
  </si>
  <si>
    <t>Dęblin</t>
  </si>
  <si>
    <t>ppp@deblin.pl</t>
  </si>
  <si>
    <t>Ryki</t>
  </si>
  <si>
    <t>PORADNIA PSYCHOLOGICZNO - PEDAGOGICZNA W GŁOWNIE</t>
  </si>
  <si>
    <t>Głowno</t>
  </si>
  <si>
    <t>kontakt@poradniapp-glowno.pl</t>
  </si>
  <si>
    <t>Zgierz</t>
  </si>
  <si>
    <t>PORADNIA PSYCHOLOGICZNO - PEDAGOGICZNA W GNIEŹNIE</t>
  </si>
  <si>
    <t>ul. ks. Prymasa Stefana Wyszyńskiego</t>
  </si>
  <si>
    <t>poradnia@ppp.powiat-gniezno.pl</t>
  </si>
  <si>
    <t>PORADNIA PSYCHOLOGICZNO - PEDAGOGICZNA W GOLENIOWIE</t>
  </si>
  <si>
    <t>goleniowski</t>
  </si>
  <si>
    <t>Goleniów</t>
  </si>
  <si>
    <t>ul. Maszewska</t>
  </si>
  <si>
    <t>sekretariat@pppgoleniow.pl</t>
  </si>
  <si>
    <t>PORADNIA PSYCHOLOGICZNO - PEDAGOGICZNA W GOLUBIU-DOBRZYNIU</t>
  </si>
  <si>
    <t>golubsko-dobrzyński</t>
  </si>
  <si>
    <t>Golub-Dobrzyń</t>
  </si>
  <si>
    <t>ppp@golub-dobrzyn.com.pl</t>
  </si>
  <si>
    <t>PORADNIA PSYCHOLOGICZNO - PEDAGOGICZNA W GRODZISKU WIELKOPOLSKIM</t>
  </si>
  <si>
    <t>ul. Zbąszyńska</t>
  </si>
  <si>
    <t>poradnia@pgw.pl</t>
  </si>
  <si>
    <t>PORADNIA PSYCHOLOGICZNO - PEDAGOGICZNA W JAROSŁAWIU</t>
  </si>
  <si>
    <t>ul. Józefa Poniatowskiego</t>
  </si>
  <si>
    <t>poradniappjaroslaw@interia.pl</t>
  </si>
  <si>
    <t>PORADNIA PSYCHOLOGICZNO - PEDAGOGICZNA W JAWORZE</t>
  </si>
  <si>
    <t>jaworski</t>
  </si>
  <si>
    <t>Jawor</t>
  </si>
  <si>
    <t>poradnia@pore-jawor.pl</t>
  </si>
  <si>
    <t>PORADNIA PSYCHOLOGICZNO - PEDAGOGICZNA W KOLE</t>
  </si>
  <si>
    <t>kolski</t>
  </si>
  <si>
    <t>Koło</t>
  </si>
  <si>
    <t>ppp.kolo@wp.pl</t>
  </si>
  <si>
    <t>PORADNIA PSYCHOLOGICZNO - PEDAGOGICZNA W KOŁOBRZEGU</t>
  </si>
  <si>
    <t>ppp@kolobrzeg.powiat.pl</t>
  </si>
  <si>
    <t>PORADNIA PSYCHOLOGICZNO - PEDAGOGICZNA W KOŚCIANIE</t>
  </si>
  <si>
    <t>kościański</t>
  </si>
  <si>
    <t>Kościan</t>
  </si>
  <si>
    <t>poradnia_koscian@poczta.onet.pl</t>
  </si>
  <si>
    <t>PORADNIA PSYCHOLOGICZNO - PEDAGOGICZNA W KOŚCIERZYNIE</t>
  </si>
  <si>
    <t>ppp.koscierzyna@powiatkoscierski.pl</t>
  </si>
  <si>
    <t>PORADNIA PSYCHOLOGICZNO - PEDAGOGICZNA W KRAPKOWICACH</t>
  </si>
  <si>
    <t>krapkowicki</t>
  </si>
  <si>
    <t>Krapkowice</t>
  </si>
  <si>
    <t>ul. Kilińskiego</t>
  </si>
  <si>
    <t>poradnia@powiatkrapkowicki.pl</t>
  </si>
  <si>
    <t>PORADNIA PSYCHOLOGICZNO - PEDAGOGICZNA W KROŚNIE ODRZAŃSKIM</t>
  </si>
  <si>
    <t>krośnieński</t>
  </si>
  <si>
    <t>Krosno Odrzańskie</t>
  </si>
  <si>
    <t>ul. Piastów</t>
  </si>
  <si>
    <t>sekretariat@ppp.powiatkrosnienski.pl</t>
  </si>
  <si>
    <t>PORADNIA PSYCHOLOGICZNO - PEDAGOGICZNA W ŁASKU</t>
  </si>
  <si>
    <t>Łask</t>
  </si>
  <si>
    <t>ul. 9 Maja</t>
  </si>
  <si>
    <t>ppplask@wikom.pl</t>
  </si>
  <si>
    <t>PORADNIA PSYCHOLOGICZNO - PEDAGOGICZNA W LĘBORKU</t>
  </si>
  <si>
    <t>ul. Okrzei</t>
  </si>
  <si>
    <t>ppplebork@poczta.onet.pl</t>
  </si>
  <si>
    <t>PORADNIA PSYCHOLOGICZNO - PEDAGOGICZNA W LEGIONOWIE</t>
  </si>
  <si>
    <t>poradnia@ppplegionowo.pl</t>
  </si>
  <si>
    <t>PORADNIA PSYCHOLOGICZNO - PEDAGOGICZNA W LESKU</t>
  </si>
  <si>
    <t>leski</t>
  </si>
  <si>
    <t>Lesko</t>
  </si>
  <si>
    <t>sekretariat@poradnialesko.pl</t>
  </si>
  <si>
    <t>PORADNIA PSYCHOLOGICZNO - PEDAGOGICZNA W LEŻAJSKU</t>
  </si>
  <si>
    <t>leżajski</t>
  </si>
  <si>
    <t>Leżajsk</t>
  </si>
  <si>
    <t>ul. Marii Curie-Skłodowskiej</t>
  </si>
  <si>
    <t>sekretariat@ppp.lezajsk.pl</t>
  </si>
  <si>
    <t>PORADNIA PSYCHOLOGICZNO - PEDAGOGICZNA W ŁOBZIE</t>
  </si>
  <si>
    <t>łobeski</t>
  </si>
  <si>
    <t>Łobez</t>
  </si>
  <si>
    <t>ul. Konopnickiej</t>
  </si>
  <si>
    <t>ppp@powiatlobeski.pl</t>
  </si>
  <si>
    <t>PORADNIA PSYCHOLOGICZNO - PEDAGOGICZNA W LUBARTOWIE</t>
  </si>
  <si>
    <t>ul. Słowackiego</t>
  </si>
  <si>
    <t>sekretariat@poradnialubartow.pl</t>
  </si>
  <si>
    <t>PORADNIA PSYCHOLOGICZNO - PEDAGOGICZNA W LUBIENIU KUJAWSKIM</t>
  </si>
  <si>
    <t>Lubień Kujawski</t>
  </si>
  <si>
    <t>sekretariat@ppplubienkuj.pl</t>
  </si>
  <si>
    <t>PORADNIA PSYCHOLOGICZNO - PEDAGOGICZNA W LUBRAŃCU</t>
  </si>
  <si>
    <t>Lubraniec</t>
  </si>
  <si>
    <t>pl. dr. Mariana Szulca</t>
  </si>
  <si>
    <t>ppplubraniec@powiat.wloclawski.pl</t>
  </si>
  <si>
    <t>PORADNIA PSYCHOLOGICZNO - PEDAGOGICZNA W MAKOWIE MAZOWIECKIM</t>
  </si>
  <si>
    <t>Maków Mazowiecki</t>
  </si>
  <si>
    <t>ul. Duńskiego Czerwonego Krzyża</t>
  </si>
  <si>
    <t>biuro@poradnia-makow.pl</t>
  </si>
  <si>
    <t>PORADNIA PSYCHOLOGICZNO - PEDAGOGICZNA W MAKOWIE PODHALAŃSKIM</t>
  </si>
  <si>
    <t>Maków Podhalański</t>
  </si>
  <si>
    <t>ppp@powiatsuski.pl</t>
  </si>
  <si>
    <t>PORADNIA PSYCHOLOGICZNO - PEDAGOGICZNA W MIĘDZYRZECZU</t>
  </si>
  <si>
    <t>międzyrzecki</t>
  </si>
  <si>
    <t>Międzyrzecz</t>
  </si>
  <si>
    <t>os. Osiedle Centrum</t>
  </si>
  <si>
    <t>poradnia@poczta.fm</t>
  </si>
  <si>
    <t>PORADNIA PSYCHOLOGICZNO - PEDAGOGICZNA W MIKOŁOWIE</t>
  </si>
  <si>
    <t>poradnia@powiat.mikolowski.pl</t>
  </si>
  <si>
    <t>PORADNIA PSYCHOLOGICZNO - PEDAGOGICZNA W MYŚLENICACH</t>
  </si>
  <si>
    <t>ul. Stanisława Pardyaka</t>
  </si>
  <si>
    <t>ppp-myslenice@wp.pl</t>
  </si>
  <si>
    <t>PORADNIA PSYCHOLOGICZNO - PEDAGOGICZNA W MYSZYŃCU</t>
  </si>
  <si>
    <t>Myszyniec</t>
  </si>
  <si>
    <t>ul. Dzieci Polskich</t>
  </si>
  <si>
    <t>sekretariat@ppp-myszyniec.pl</t>
  </si>
  <si>
    <t>PORADNIA PSYCHOLOGICZNO - PEDAGOGICZNA W NAMYSŁOWIE</t>
  </si>
  <si>
    <t>namysłowski</t>
  </si>
  <si>
    <t>Namysłów</t>
  </si>
  <si>
    <t>sekretariat@poradnia-namyslow.pl</t>
  </si>
  <si>
    <t>PORADNIA PSYCHOLOGICZNO - PEDAGOGICZNA W NOWEJ DĘBIE</t>
  </si>
  <si>
    <t>tarnobrzeski</t>
  </si>
  <si>
    <t>Nowa Dęba</t>
  </si>
  <si>
    <t>ul. Mikołaja Reja</t>
  </si>
  <si>
    <t>sekretariat@pppnd.naszaporadnia.com</t>
  </si>
  <si>
    <t>Tarnobrzeg</t>
  </si>
  <si>
    <t>PORADNIA PSYCHOLOGICZNO - PEDAGOGICZNA W ORNECIE</t>
  </si>
  <si>
    <t>ppporneta@tlen.pl</t>
  </si>
  <si>
    <t>Lidzbark Warmiński</t>
  </si>
  <si>
    <t>PORADNIA PSYCHOLOGICZNO - PEDAGOGICZNA W OZORKOWIE</t>
  </si>
  <si>
    <t>Ozorków</t>
  </si>
  <si>
    <t>ul. gen. Romualda Traugutta</t>
  </si>
  <si>
    <t>sekretariat@poradniaozorkow.pl</t>
  </si>
  <si>
    <t>PORADNIA PSYCHOLOGICZNO - PEDAGOGICZNA W PILE</t>
  </si>
  <si>
    <t>ul. gen. Sikorskiego</t>
  </si>
  <si>
    <t>ppppila@op.pl</t>
  </si>
  <si>
    <t>PORADNIA PSYCHOLOGICZNO - PEDAGOGICZNA W PLESZEWIE</t>
  </si>
  <si>
    <t>pleszewski</t>
  </si>
  <si>
    <t>Pleszew</t>
  </si>
  <si>
    <t>sekretariat@poradnia-pleszew.org.pl</t>
  </si>
  <si>
    <t>PORADNIA PSYCHOLOGICZNO - PEDAGOGICZNA W PODDĘBICACH</t>
  </si>
  <si>
    <t>poddębicki</t>
  </si>
  <si>
    <t>Poddębice</t>
  </si>
  <si>
    <t>ul. Narutowicza</t>
  </si>
  <si>
    <t>ppppoddebice@wp.pl</t>
  </si>
  <si>
    <t>PORADNIA PSYCHOLOGICZNO - PEDAGOGICZNA W POŁCZYNIE - ZDROJU</t>
  </si>
  <si>
    <t>Połczyn-Zdrój</t>
  </si>
  <si>
    <t>poradniapz@gmail.com</t>
  </si>
  <si>
    <t>PORADNIA PSYCHOLOGICZNO - PEDAGOGICZNA W POLICACH</t>
  </si>
  <si>
    <t>policki</t>
  </si>
  <si>
    <t>Police</t>
  </si>
  <si>
    <t>sekretariat@poradniapolice.pl</t>
  </si>
  <si>
    <t>PORADNIA PSYCHOLOGICZNO - PEDAGOGICZNA W POLKOWICACH</t>
  </si>
  <si>
    <t>popppidm@polkowice.edu.pl</t>
  </si>
  <si>
    <t>PORADNIA PSYCHOLOGICZNO - PEDAGOGICZNA W PRZEWORSKU</t>
  </si>
  <si>
    <t>przeworski</t>
  </si>
  <si>
    <t>Przeworsk</t>
  </si>
  <si>
    <t>ul. Lwowska</t>
  </si>
  <si>
    <t>sekretariat@poradniap-p.powiatprzeworsk.pl</t>
  </si>
  <si>
    <t>PORADNIA PSYCHOLOGICZNO - PEDAGOGICZNA W PSZCZYNIE</t>
  </si>
  <si>
    <t>Pszczyna</t>
  </si>
  <si>
    <t>ul. L. Zamenhofa</t>
  </si>
  <si>
    <t>ppped@ppped.pl</t>
  </si>
  <si>
    <t>PORADNIA PSYCHOLOGICZNO - PEDAGOGICZNA W PUCKU</t>
  </si>
  <si>
    <t>Puck</t>
  </si>
  <si>
    <t>sekretariat@poradniapuck.pl</t>
  </si>
  <si>
    <t>PORADNIA PSYCHOLOGICZNO - PEDAGOGICZNA W RYKACH</t>
  </si>
  <si>
    <t>pppryki@op.pl</t>
  </si>
  <si>
    <t>PORADNIA PSYCHOLOGICZNO - PEDAGOGICZNA W SANOKU</t>
  </si>
  <si>
    <t>sanocki</t>
  </si>
  <si>
    <t>Sanok</t>
  </si>
  <si>
    <t>ul. Szopena</t>
  </si>
  <si>
    <t>poradniapp@sanok.com.pl</t>
  </si>
  <si>
    <t>PORADNIA PSYCHOLOGICZNO - PEDAGOGICZNA W SEJNACH</t>
  </si>
  <si>
    <t>sejneński</t>
  </si>
  <si>
    <t>Sejny</t>
  </si>
  <si>
    <t>ul. Łąkowa</t>
  </si>
  <si>
    <t>poradnia@powiat.sejny.pl</t>
  </si>
  <si>
    <t>PORADNIA PSYCHOLOGICZNO - PEDAGOGICZNA W SKOCZOWIE ZESPOŁU PORADNI PSYCHOLOGICZNO - PEDAGOGICZNYCH W CIESZYNIE</t>
  </si>
  <si>
    <t>ul. Górecka</t>
  </si>
  <si>
    <t>skoczow@zppp.cieszyn.pl</t>
  </si>
  <si>
    <t>PORADNIA PSYCHOLOGICZNO - PEDAGOGICZNA W SKWIERZYNIE</t>
  </si>
  <si>
    <t>Skwierzyna</t>
  </si>
  <si>
    <t>ppp-skwierzyna@o2.pl</t>
  </si>
  <si>
    <t>PORADNIA PSYCHOLOGICZNO - PEDAGOGICZNA W SŁUPSKU</t>
  </si>
  <si>
    <t>sekretariat@poradnia.slupsk.pl</t>
  </si>
  <si>
    <t>PORADNIA PSYCHOLOGICZNO - PEDAGOGICZNA W SOKÓŁCE</t>
  </si>
  <si>
    <t>os. Os. Zielone</t>
  </si>
  <si>
    <t>pppsokolka@interia.pl</t>
  </si>
  <si>
    <t>PORADNIA PSYCHOLOGICZNO - PEDAGOGICZNA W STRZELCACH OPOLSKICH</t>
  </si>
  <si>
    <t>strzelecki</t>
  </si>
  <si>
    <t>Strzelce Opolskie</t>
  </si>
  <si>
    <t>sekretariat@ppp.powiatstrzelecki.pl</t>
  </si>
  <si>
    <t>PORADNIA PSYCHOLOGICZNO - PEDAGOGICZNA W STRZYŻOWIE</t>
  </si>
  <si>
    <t>poradniapsp@vp.pl</t>
  </si>
  <si>
    <t>PORADNIA PSYCHOLOGICZNO - PEDAGOGICZNA W SULECHOWIE</t>
  </si>
  <si>
    <t>zielonogórski</t>
  </si>
  <si>
    <t>Sulechów</t>
  </si>
  <si>
    <t>ul. Kruszyna</t>
  </si>
  <si>
    <t>pppsulechow@wp.pl</t>
  </si>
  <si>
    <t>PORADNIA PSYCHOLOGICZNO - PEDAGOGICZNA W SUWAŁKACH</t>
  </si>
  <si>
    <t>ul. Nowomiejska</t>
  </si>
  <si>
    <t>sekretariat@ppp.suwalki.eu</t>
  </si>
  <si>
    <t>PORADNIA PSYCHOLOGICZNO - PEDAGOGICZNA W SZCZYTNIE</t>
  </si>
  <si>
    <t>szczycieński</t>
  </si>
  <si>
    <t>Szczytno</t>
  </si>
  <si>
    <t>ul. Jerzego Lanca</t>
  </si>
  <si>
    <t>sekretariat@ppp.szczytno.pl</t>
  </si>
  <si>
    <t>PORADNIA PSYCHOLOGICZNO - PEDAGOGICZNA W SZTUMIE</t>
  </si>
  <si>
    <t>sztumski</t>
  </si>
  <si>
    <t>Sztum</t>
  </si>
  <si>
    <t>ul. Kasprowicza</t>
  </si>
  <si>
    <t>pppsztum@interia.pl</t>
  </si>
  <si>
    <t>PORADNIA PSYCHOLOGICZNO - PEDAGOGICZNA W SZYDŁOWCU</t>
  </si>
  <si>
    <t>szydłowiecki</t>
  </si>
  <si>
    <t>Szydłowiec</t>
  </si>
  <si>
    <t>pppsz@wp.pl</t>
  </si>
  <si>
    <t>PORADNIA PSYCHOLOGICZNO - PEDAGOGICZNA W TUCHOLI</t>
  </si>
  <si>
    <t>tucholski</t>
  </si>
  <si>
    <t>Tuchola</t>
  </si>
  <si>
    <t>poradnia@poradniatuchola.pl</t>
  </si>
  <si>
    <t>PORADNIA PSYCHOLOGICZNO - PEDAGOGICZNA W WĄGROWCU</t>
  </si>
  <si>
    <t>wągrowiecki</t>
  </si>
  <si>
    <t>Wągrowiec</t>
  </si>
  <si>
    <t>ul. Wierzbowa</t>
  </si>
  <si>
    <t>poradnia@pppwagrowiec.pl</t>
  </si>
  <si>
    <t>PORADNIA PSYCHOLOGICZNO - PEDAGOGICZNA W WYRZYSKU</t>
  </si>
  <si>
    <t>Wyrzysk</t>
  </si>
  <si>
    <t>pppwyrzysk@interia.pl</t>
  </si>
  <si>
    <t>PORADNIA PSYCHOLOGICZNO - PEDAGOGICZNA W ŻAGANIU</t>
  </si>
  <si>
    <t>pppzagan@wp.pl</t>
  </si>
  <si>
    <t>PORADNIA PSYCHOLOGICZNO - PEDAGOGICZNA W ZAMBROWIE</t>
  </si>
  <si>
    <t>zambrowski</t>
  </si>
  <si>
    <t>Zambrów</t>
  </si>
  <si>
    <t>ul. Obwodowa</t>
  </si>
  <si>
    <t>ppp@powiatzambrowski.com</t>
  </si>
  <si>
    <t>PORADNIA PSYCHOLOGICZNO - PEDAGOGICZNA W ZGIERZU</t>
  </si>
  <si>
    <t>poradnia@powiat.zgierz.pl</t>
  </si>
  <si>
    <t>PORADNIA PSYCHOLOGICZNO -PEDAGOGICZNA</t>
  </si>
  <si>
    <t>Nowy Dwór Mazowiecki</t>
  </si>
  <si>
    <t>ul. Chemików</t>
  </si>
  <si>
    <t>ppp.ndmaz@gmail.com</t>
  </si>
  <si>
    <t>ppp.nasielsk@pppndm.pl</t>
  </si>
  <si>
    <t>PORADNIA PSYCHOLOGICZNO -PEDAGOGICZNA W BIELSKU PODLASKIM</t>
  </si>
  <si>
    <t>ul. Widowska</t>
  </si>
  <si>
    <t>poradnia@powiatbielski.pl</t>
  </si>
  <si>
    <t>PORADNIA PSYCHOLOGICZNO -PEDAGOGICZNA W WOLINIE</t>
  </si>
  <si>
    <t>kamieński</t>
  </si>
  <si>
    <t>Wolin</t>
  </si>
  <si>
    <t>info@pppwolin.pl</t>
  </si>
  <si>
    <t>Kamień Pomorski</t>
  </si>
  <si>
    <t>PORADNIA PSYCHOLOGICZNO PEDAGOGICZNA</t>
  </si>
  <si>
    <t>sępoleński</t>
  </si>
  <si>
    <t>Sępólno Krajeńskie</t>
  </si>
  <si>
    <t>sekretariat@poradnia-sepolno.pl</t>
  </si>
  <si>
    <t>wieluński</t>
  </si>
  <si>
    <t>Wieluń</t>
  </si>
  <si>
    <t>sekretariat@poradnia.wielun.pl</t>
  </si>
  <si>
    <t>PORADNIA PSYCHOLOGICZNO PEDAGOGICZNA ASTO</t>
  </si>
  <si>
    <t>ul. Maksymiliana Marii Kolbego</t>
  </si>
  <si>
    <t>poradnia@asto.org.pl</t>
  </si>
  <si>
    <t>PORADNIA PSYCHOLOGICZNO PEDAGOGICZNA CZERWIONKA-LESZCZYNY</t>
  </si>
  <si>
    <t>PPPCZERWIONKA@WP.PL</t>
  </si>
  <si>
    <t>PORADNIA PSYCHOLOGICZNO PEDAGOGICZNA EMOTUS</t>
  </si>
  <si>
    <t>poradnia@emotus.com.pl</t>
  </si>
  <si>
    <t>PORADNIA PSYCHOLOGICZNO PEDAGOGICZNA NR 2 W ZAMOŚCIU</t>
  </si>
  <si>
    <t>sekretariat@por2zamosc.pl</t>
  </si>
  <si>
    <t>PORADNIA PSYCHOLOGICZNO PEDAGOGICZNA NR 21</t>
  </si>
  <si>
    <t>ul. Marywilska</t>
  </si>
  <si>
    <t>kontakt.ppp21@eduwarszawa.pl</t>
  </si>
  <si>
    <t>PORADNIA PSYCHOLOGICZNO PEDAGOGICZNA W GRYFOWIE ŚLĄSKIM</t>
  </si>
  <si>
    <t>lwówecki</t>
  </si>
  <si>
    <t>Gryfów Śląski</t>
  </si>
  <si>
    <t>pppgryf@interia.pl</t>
  </si>
  <si>
    <t>Lwówek Śląski</t>
  </si>
  <si>
    <t>PORADNIA PSYCHOLOGICZNO PEDAGOGICZNA W HAJNÓWCE</t>
  </si>
  <si>
    <t>hajnowski</t>
  </si>
  <si>
    <t>Hajnówka</t>
  </si>
  <si>
    <t>poradnia@powiat.hajnowka.pl</t>
  </si>
  <si>
    <t>PORADNIA PSYCHOLOGICZNO PEDAGOGICZNA W KRASNYMSTAWIE</t>
  </si>
  <si>
    <t>krasnostawski</t>
  </si>
  <si>
    <t>Krasnystaw</t>
  </si>
  <si>
    <t>poradnia@pppkrasnystaw.pl</t>
  </si>
  <si>
    <t>PORADNIA PSYCHOLOGICZNO PEDAGOGICZNA W ŁAŃCUCIE</t>
  </si>
  <si>
    <t>sekretariat@ppplancut.pl</t>
  </si>
  <si>
    <t>PORADNIA PSYCHOLOGICZNO PEDAGOGICZNA W ŁOSICACH</t>
  </si>
  <si>
    <t>sekretariat@poradnia.losice.pl</t>
  </si>
  <si>
    <t>PORADNIA PSYCHOLOGICZNO PEDAGOGICZNA W MILÓWCE</t>
  </si>
  <si>
    <t>żywiecki</t>
  </si>
  <si>
    <t>Milówka</t>
  </si>
  <si>
    <t>sekretariat@poradniamilowka.edu.pl</t>
  </si>
  <si>
    <t>Żywiec</t>
  </si>
  <si>
    <t>PORADNIA PSYCHOLOGICZNO PEDAGOGICZNA W RABCE-ZDROJU</t>
  </si>
  <si>
    <t>ppprabka@nowotarski.pl</t>
  </si>
  <si>
    <t>PORADNIA PSYCHOLOGICZNO PEDAGOGICZNA W SŁUPSKU</t>
  </si>
  <si>
    <t>sekretariat@ppp.slupsk.pl</t>
  </si>
  <si>
    <t>PORADNIA PSYCHOLOGICZNO PEDAGOGICZNA W TRZEBNICY</t>
  </si>
  <si>
    <t>ul. Nowa</t>
  </si>
  <si>
    <t>sekretariat@poradniapp.trzebnica.pl</t>
  </si>
  <si>
    <t>PORADNIA PSYCHOLOGICZNO PEDAGOGICZNA W WĄBRZEŹNIE</t>
  </si>
  <si>
    <t>wąbrzeski</t>
  </si>
  <si>
    <t>Wąbrzeźno</t>
  </si>
  <si>
    <t>poradnia.wabrzezno@data.pl</t>
  </si>
  <si>
    <t>PORADNIA PSYCHOLOGICZNO- PEDAGOGICZNA</t>
  </si>
  <si>
    <t>świebodziński</t>
  </si>
  <si>
    <t>Świebodzin</t>
  </si>
  <si>
    <t>ul. Żaków</t>
  </si>
  <si>
    <t>sekretariat@poradniapp.swiebodzin.pl</t>
  </si>
  <si>
    <t>PORADNIA PSYCHOLOGICZNO- PEDAGOGICZNA NR 1</t>
  </si>
  <si>
    <t>ul. Leopolda Staffa</t>
  </si>
  <si>
    <t>sekretariat@ppp1.edu.gdynia.pl</t>
  </si>
  <si>
    <t>PORADNIA PSYCHOLOGICZNO- PEDAGOGICZNA NR 2</t>
  </si>
  <si>
    <t>ul. Chylońska</t>
  </si>
  <si>
    <t>sekretariat@ppp2.edu.gdynia.pl</t>
  </si>
  <si>
    <t>PORADNIA PSYCHOLOGICZNO- PEDAGOGICZNA NR 3</t>
  </si>
  <si>
    <t>ul. płk. Stanisława Dąbka</t>
  </si>
  <si>
    <t>sekretariat@ppp3.edu.gdynia.pl</t>
  </si>
  <si>
    <t>PORADNIA PSYCHOLOGICZNO- PEDAGOGICZNA W DREZDENKU</t>
  </si>
  <si>
    <t>strzelecko-drezdenecki</t>
  </si>
  <si>
    <t>Drezdenko</t>
  </si>
  <si>
    <t>poradnia@pppdrezdenko.pl</t>
  </si>
  <si>
    <t>Strzelce Krajeńskie</t>
  </si>
  <si>
    <t>PORADNIA PSYCHOLOGICZNO- PEDAGOGICZNA W NOWYM TARGU</t>
  </si>
  <si>
    <t>poradnia-nt@nowotarski.pl</t>
  </si>
  <si>
    <t>PORADNIA PSYCHOLOGICZNO- PEDAGOGICZNA W RACIBORZU</t>
  </si>
  <si>
    <t>raciborski</t>
  </si>
  <si>
    <t>Racibórz</t>
  </si>
  <si>
    <t>ul. Jana</t>
  </si>
  <si>
    <t>sekretariat@ppp-raciborz.pl</t>
  </si>
  <si>
    <t>PORADNIA PSYCHOLOGICZNO- PEDAGOGICZNA W STRZELCACH KRAJEŃSKICH</t>
  </si>
  <si>
    <t>ul. Okrężna</t>
  </si>
  <si>
    <t>ppp1strzelce@interia.pl</t>
  </si>
  <si>
    <t>PORADNIA PSYCHOLOGICZNO- PEDAGOGICZNA W ZWOLENIU</t>
  </si>
  <si>
    <t>zwoleński</t>
  </si>
  <si>
    <t>Zwoleń</t>
  </si>
  <si>
    <t>poradnia@zwolenpowiat.pl</t>
  </si>
  <si>
    <t>PORADNIA PSYCHOLOGICZNO-PEDAGOGICZNA</t>
  </si>
  <si>
    <t>białobrzeski</t>
  </si>
  <si>
    <t>Białobrzegi</t>
  </si>
  <si>
    <t>poradniap-p@tlen.pl</t>
  </si>
  <si>
    <t>malborski</t>
  </si>
  <si>
    <t>Malbork</t>
  </si>
  <si>
    <t>ul. Tadeusza Kotarbińskiego</t>
  </si>
  <si>
    <t>pppmalbork@post.pl</t>
  </si>
  <si>
    <t>Środa Śląska</t>
  </si>
  <si>
    <t>ppp@powiat-sredzki.pl</t>
  </si>
  <si>
    <t>nowomiejski</t>
  </si>
  <si>
    <t>Nowe Miasto Lubawskie</t>
  </si>
  <si>
    <t>ppp.nml@wp.pl</t>
  </si>
  <si>
    <t>giżycki</t>
  </si>
  <si>
    <t>Giżycko</t>
  </si>
  <si>
    <t>ul. Smętka</t>
  </si>
  <si>
    <t>sekretariat@poregizycko.pl</t>
  </si>
  <si>
    <t>sekretariat@ppp.grudziadz.pl</t>
  </si>
  <si>
    <t>poczta@ppp.jastrzebie.pl</t>
  </si>
  <si>
    <t>nowosolski</t>
  </si>
  <si>
    <t>Nowa Sól</t>
  </si>
  <si>
    <t>ul. marsz. Józefa Piłsudskiego</t>
  </si>
  <si>
    <t>sekretariat@pppns.pl</t>
  </si>
  <si>
    <t>głubczycki</t>
  </si>
  <si>
    <t>Głubczyce</t>
  </si>
  <si>
    <t>ul. Raciborska</t>
  </si>
  <si>
    <t>pppglubczyce@op.pl</t>
  </si>
  <si>
    <t>ul. Oświatowa</t>
  </si>
  <si>
    <t>kontakt@ppp.ostroleka.pl</t>
  </si>
  <si>
    <t>nidzicki</t>
  </si>
  <si>
    <t>Nidzica</t>
  </si>
  <si>
    <t>ul. Wyborska</t>
  </si>
  <si>
    <t>pore.nidzica@op.pl</t>
  </si>
  <si>
    <t>ul. Chyszowska</t>
  </si>
  <si>
    <t>dyrppp@umt.tarnow.pl</t>
  </si>
  <si>
    <t>sekretariat@poradniaostrzeszow.pl</t>
  </si>
  <si>
    <t>przasnyski</t>
  </si>
  <si>
    <t>Przasnysz</t>
  </si>
  <si>
    <t>ul. Berka Joselewicza</t>
  </si>
  <si>
    <t>ppp@powiat-przasnysz.pl</t>
  </si>
  <si>
    <t>ul. Majowa</t>
  </si>
  <si>
    <t>sekretariat@ppptm.pl</t>
  </si>
  <si>
    <t>ul. Juliana Gomulińskiego</t>
  </si>
  <si>
    <t>kontakt@pruszkowporadnia.pl</t>
  </si>
  <si>
    <t>chodzieski</t>
  </si>
  <si>
    <t>Chodzież</t>
  </si>
  <si>
    <t>ul. Składowa</t>
  </si>
  <si>
    <t>sekretariat@poradniachodziez.edu.pl</t>
  </si>
  <si>
    <t>sulęciński</t>
  </si>
  <si>
    <t>Sulęcin</t>
  </si>
  <si>
    <t>sekretariat@poradniasulecin.pl</t>
  </si>
  <si>
    <t>ul. Pawia</t>
  </si>
  <si>
    <t>malgosiazero@o2.pl</t>
  </si>
  <si>
    <t>ppp@chorzow.eu</t>
  </si>
  <si>
    <t>niżański</t>
  </si>
  <si>
    <t>Nisko</t>
  </si>
  <si>
    <t>sekretariat@pppnisko.pl</t>
  </si>
  <si>
    <t>ul. Młynarska</t>
  </si>
  <si>
    <t>poradnia@poradniapsychped1.pl</t>
  </si>
  <si>
    <t>ul. Edukacji</t>
  </si>
  <si>
    <t>ppp@oswiata.tychy.pl</t>
  </si>
  <si>
    <t>info@poradnia.swidnik.pl</t>
  </si>
  <si>
    <t>węgorzewski</t>
  </si>
  <si>
    <t>Węgorzewo</t>
  </si>
  <si>
    <t>ul. Generała Józefa Bema</t>
  </si>
  <si>
    <t>sekretariat@poradniawegorzewo.pl</t>
  </si>
  <si>
    <t>ul. Wodzisławska</t>
  </si>
  <si>
    <t>psychologiczna@wp.pl</t>
  </si>
  <si>
    <t>poczta@poradnia.piaseczno.pl</t>
  </si>
  <si>
    <t>Świnoujście</t>
  </si>
  <si>
    <t>sekretariat@poradnia.swinoujscie.pl</t>
  </si>
  <si>
    <t>proszowicki</t>
  </si>
  <si>
    <t>Proszowice</t>
  </si>
  <si>
    <t>poradniapsychologiczna1@wp.pl</t>
  </si>
  <si>
    <t>Złotoryja</t>
  </si>
  <si>
    <t>sekretariat@poppp-zlotoryja.pl</t>
  </si>
  <si>
    <t>poradnia-zyrardow@wp.pl</t>
  </si>
  <si>
    <t>kamiennogórski</t>
  </si>
  <si>
    <t>Kamienna Góra</t>
  </si>
  <si>
    <t>ul. Papieża Jana Pawła II</t>
  </si>
  <si>
    <t>pcekamgora@o2.pl</t>
  </si>
  <si>
    <t>ul. Idzikowskiego</t>
  </si>
  <si>
    <t>poradnia@poradniapsych.szkolnastrona.pl</t>
  </si>
  <si>
    <t>nowotomyski</t>
  </si>
  <si>
    <t>Nowy Tomyśl</t>
  </si>
  <si>
    <t>ul. Emilii Sczanieckiej</t>
  </si>
  <si>
    <t>sekretariat@pppnt.com.pl</t>
  </si>
  <si>
    <t>ul. Kapitulna</t>
  </si>
  <si>
    <t>ppp@um.przemysl.pl</t>
  </si>
  <si>
    <t>brzozowski</t>
  </si>
  <si>
    <t>Brzozów</t>
  </si>
  <si>
    <t>poradniapp.brzozow@gmail.com</t>
  </si>
  <si>
    <t>pl. Plac Majdanek</t>
  </si>
  <si>
    <t>sekretariat@poradnia.stargard.pl</t>
  </si>
  <si>
    <t>ul. Jana Matejki</t>
  </si>
  <si>
    <t>sekretariat@ppp.edu.pl</t>
  </si>
  <si>
    <t>pyrzycki</t>
  </si>
  <si>
    <t>Pyrzyce</t>
  </si>
  <si>
    <t>ul. Lipiańska</t>
  </si>
  <si>
    <t>sekretariat@poradniapyrzyce.pl</t>
  </si>
  <si>
    <t>ppp-wloclawek@wp.pl</t>
  </si>
  <si>
    <t>Nowy Dwór Gdański</t>
  </si>
  <si>
    <t>poradnia@nowydworgdanski.pl</t>
  </si>
  <si>
    <t>PORADNIA PSYCHOLOGICZNO-PEDAGOGICZNA "AKADEMIA RELACJI"</t>
  </si>
  <si>
    <t>ul. Rymanowska</t>
  </si>
  <si>
    <t>PORADNIA PSYCHOLOGICZNO-PEDAGOGICZNA "BOBROWIECKA"</t>
  </si>
  <si>
    <t>ul. Bobrowiecka</t>
  </si>
  <si>
    <t>sekretariat@fundacjakonarskiego.pl</t>
  </si>
  <si>
    <t>PORADNIA PSYCHOLOGICZNO-PEDAGOGICZNA "CARPE DIEM</t>
  </si>
  <si>
    <t>ul. Ludowa</t>
  </si>
  <si>
    <t>PORADNIA PSYCHOLOGICZNO-PEDAGOGICZNA "MAGNOLIA"</t>
  </si>
  <si>
    <t>ul. Magnolii</t>
  </si>
  <si>
    <t>PORADNIA PSYCHOLOGICZNO-PEDAGOGICZNA "PRZYSTAŃ" CENTRUM EDUKACJI I ROZWOJU</t>
  </si>
  <si>
    <t>biuro@poradnia-przystan.pl</t>
  </si>
  <si>
    <t>PORADNIA PSYCHOLOGICZNO-PEDAGOGICZNA "SŁONECZKO"</t>
  </si>
  <si>
    <t>rypiński</t>
  </si>
  <si>
    <t>Rypin</t>
  </si>
  <si>
    <t>Dylewo</t>
  </si>
  <si>
    <t>ppp88dylewo2@wp.pl</t>
  </si>
  <si>
    <t>PORADNIA PSYCHOLOGICZNO-PEDAGOGICZNA "ŚWIAT DZIECKA"</t>
  </si>
  <si>
    <t>ul. Rembrandta</t>
  </si>
  <si>
    <t>jarek.radko@wp.pl</t>
  </si>
  <si>
    <t>PORADNIA PSYCHOLOGICZNO-PEDAGOGICZNA "TIM"</t>
  </si>
  <si>
    <t>ul. Piękna</t>
  </si>
  <si>
    <t>edyta.plich@tim.edu.pl</t>
  </si>
  <si>
    <t>PORADNIA PSYCHOLOGICZNO-PEDAGOGICZNA AXON W AUGUSTOWIE</t>
  </si>
  <si>
    <t>poradniaaugustow@axoncem.pl</t>
  </si>
  <si>
    <t>PORADNIA PSYCHOLOGICZNO-PEDAGOGICZNA BRAIN CARE</t>
  </si>
  <si>
    <t>ul. Stabłowicka</t>
  </si>
  <si>
    <t>kamila@poradniabraincare.pl</t>
  </si>
  <si>
    <t>PORADNIA PSYCHOLOGICZNO-PEDAGOGICZNA BUTTERFLY</t>
  </si>
  <si>
    <t>kontakt@poradniabutterfly.pl</t>
  </si>
  <si>
    <t>PORADNIA PSYCHOLOGICZNO-PEDAGOGICZNA COLLEGIUM VERUM</t>
  </si>
  <si>
    <t>ul. Marii Grzegorzewskiej</t>
  </si>
  <si>
    <t>poradnia@swpr.edu.pl</t>
  </si>
  <si>
    <t>PORADNIA PSYCHOLOGICZNO-PEDAGOGICZNA DLA DZIECI I MŁODZIEŻY FUNDACJI "PRO HUMANA VITA"</t>
  </si>
  <si>
    <t>ul. Wacława Lipińskiego</t>
  </si>
  <si>
    <t>owiwala@poczta.onet.pl</t>
  </si>
  <si>
    <t>PORADNIA PSYCHOLOGICZNO-PEDAGOGICZNA DLA DZIECI I MŁODZIEŻY Z AUTYZMEM</t>
  </si>
  <si>
    <t>ppp1poznan@wp.pl</t>
  </si>
  <si>
    <t>PORADNIA PSYCHOLOGICZNO-PEDAGOGICZNA DLA DZIECI I MŁODZIEŻY ZE SPECJALNYMI POTRZEBAMI EDUKACYJNYMI</t>
  </si>
  <si>
    <t>ul. 28 Czerwca 1956 r.</t>
  </si>
  <si>
    <t>sekretariat.ps@zppp2.pl</t>
  </si>
  <si>
    <t>PORADNIA PSYCHOLOGICZNO-PEDAGOGICZNA DLA POWIATU PRZEMYSKIEGO W PRZEMYŚL</t>
  </si>
  <si>
    <t>ul. Walerego Waygarta</t>
  </si>
  <si>
    <t>poradnia.powiat@wp.pl</t>
  </si>
  <si>
    <t>PORADNIA PSYCHOLOGICZNO-PEDAGOGICZNA FLEX</t>
  </si>
  <si>
    <t>ul. Golęcińska</t>
  </si>
  <si>
    <t>PORADNIA PSYCHOLOGICZNO-PEDAGOGICZNA GEDEON MEDICA</t>
  </si>
  <si>
    <t>e.bonder@gedeonmedica.com.pl</t>
  </si>
  <si>
    <t>PORADNIA PSYCHOLOGICZNO-PEDAGOGICZNA I REHABILITACYJNA "ORTOSENSIS"</t>
  </si>
  <si>
    <t>ul. Okólna</t>
  </si>
  <si>
    <t>centrum@ortosensis.pl</t>
  </si>
  <si>
    <t>Zielonka</t>
  </si>
  <si>
    <t>PORADNIA PSYCHOLOGICZNO-PEDAGOGICZNA INSTYTUT DOBREJ EDUKACJI</t>
  </si>
  <si>
    <t>al. Aleja Grunwaldzka</t>
  </si>
  <si>
    <t>biuro@dobraedukacja.edu.pl</t>
  </si>
  <si>
    <t>PORADNIA PSYCHOLOGICZNO-PEDAGOGICZNA JASKÓŁKA</t>
  </si>
  <si>
    <t>ul. Robotnicza</t>
  </si>
  <si>
    <t>poradnia@jaskolka.edu.pl</t>
  </si>
  <si>
    <t>PORADNIA PSYCHOLOGICZNO-PEDAGOGICZNA KLONOWIC W LUBLINIE</t>
  </si>
  <si>
    <t>ul. Aleja Warszawska</t>
  </si>
  <si>
    <t>klonowic@klonowic.lublin.pl</t>
  </si>
  <si>
    <t>PORADNIA PSYCHOLOGICZNO-PEDAGOGICZNA MENTIS</t>
  </si>
  <si>
    <t>ul. Piwoniowa</t>
  </si>
  <si>
    <t>anna.dabrowska@szkola-mentis.edu.pl</t>
  </si>
  <si>
    <t>PORADNIA PSYCHOLOGICZNO-PEDAGOGICZNA MENTOR W BIAŁYMSTOKU</t>
  </si>
  <si>
    <t>ul. Antoniukowska</t>
  </si>
  <si>
    <t>sekretariatppp@axoncem.pl</t>
  </si>
  <si>
    <t>PORADNIA PSYCHOLOGICZNO-PEDAGOGICZNA MOTYLEK</t>
  </si>
  <si>
    <t>ul. harcerza Antolka Gradowskiego</t>
  </si>
  <si>
    <t>biuro@przerwijcisze.org</t>
  </si>
  <si>
    <t>PORADNIA PSYCHOLOGICZNO-PEDAGOGICZNA NIEPUBLICZNA - CENTRUM DIAGNOZY, TERAPII I REHABILITACJI DZIECI</t>
  </si>
  <si>
    <t>poradniaarw@gmail.com</t>
  </si>
  <si>
    <t>PORADNIA PSYCHOLOGICZNO-PEDAGOGICZNA NR 1</t>
  </si>
  <si>
    <t>al. Papieża Jana Pawła II</t>
  </si>
  <si>
    <t>ppp1@miasto.szczecin.pl</t>
  </si>
  <si>
    <t>dyrektor_ppp1_krosno@oswiata.org.pl</t>
  </si>
  <si>
    <t>ul. Hipoteczna</t>
  </si>
  <si>
    <t>kontakt@ppp1.elodz.edu.pl</t>
  </si>
  <si>
    <t>ppp1@edu.bydgoszcz.pl</t>
  </si>
  <si>
    <t>poradnia1@ppp1katowice.pl.pl</t>
  </si>
  <si>
    <t>sekretariat.ppp1@wroclawskaedukacja.pl</t>
  </si>
  <si>
    <t>PORADNIA PSYCHOLOGICZNO-PEDAGOGICZNA NR 1 DLA DZIECI ZE SPECJALNYMI POTRZEBAMI EDUKACYJNYMI</t>
  </si>
  <si>
    <t>ul. Szymona Kossobudzkiego</t>
  </si>
  <si>
    <t>ppp1@zjoplock.pl</t>
  </si>
  <si>
    <t>PORADNIA PSYCHOLOGICZNO-PEDAGOGICZNA NR 1 W BIAŁYMSTOKU</t>
  </si>
  <si>
    <t>ppp1@um.bialystok.pl</t>
  </si>
  <si>
    <t>PORADNIA PSYCHOLOGICZNO-PEDAGOGICZNA NR 1 W CHEŁMIE</t>
  </si>
  <si>
    <t>ul. Połaniecka</t>
  </si>
  <si>
    <t>ppp1chelm@o2.pl</t>
  </si>
  <si>
    <t>PORADNIA PSYCHOLOGICZNO-PEDAGOGICZNA NR 1 W GDAŃSKU</t>
  </si>
  <si>
    <t>ul. Obywatelska</t>
  </si>
  <si>
    <t>sekretariat@ppp1.edu.gdansk.pl</t>
  </si>
  <si>
    <t>PORADNIA PSYCHOLOGICZNO-PEDAGOGICZNA NR 1 W GORZOWIE WLKP.</t>
  </si>
  <si>
    <t>ul. Józefa Pankiewicza</t>
  </si>
  <si>
    <t>ksiegowosc@ppp1gorzow.pl</t>
  </si>
  <si>
    <t>PORADNIA PSYCHOLOGICZNO-PEDAGOGICZNA NR 1 W KALISZU</t>
  </si>
  <si>
    <t>ul. Augustyna Kordeckiego</t>
  </si>
  <si>
    <t>poradnia@ppp1kalisz.pl</t>
  </si>
  <si>
    <t>PORADNIA PSYCHOLOGICZNO-PEDAGOGICZNA NR 1 W KRAKOWIE</t>
  </si>
  <si>
    <t>ul. Adama Chmielowskiego</t>
  </si>
  <si>
    <t>ppp1@mjo.krakow.pl</t>
  </si>
  <si>
    <t>PORADNIA PSYCHOLOGICZNO-PEDAGOGICZNA NR 1 W LEGNICY</t>
  </si>
  <si>
    <t>sekretariat@cpppidn.legnica.eu</t>
  </si>
  <si>
    <t>PORADNIA PSYCHOLOGICZNO-PEDAGOGICZNA NR 1 W LUBLINIE</t>
  </si>
  <si>
    <t>poczta@ppp1.lublin.eu</t>
  </si>
  <si>
    <t>PORADNIA PSYCHOLOGICZNO-PEDAGOGICZNA NR 1 W OLSZTYNIE</t>
  </si>
  <si>
    <t>ul. Edwarda Turowskiego</t>
  </si>
  <si>
    <t>sekretariat@ppp1.olsztyn.eu</t>
  </si>
  <si>
    <t>PORADNIA PSYCHOLOGICZNO-PEDAGOGICZNA NR 1 W RZESZOWIE</t>
  </si>
  <si>
    <t>ul. Stefana Batorego</t>
  </si>
  <si>
    <t>pppnr1@pro.onet.pl</t>
  </si>
  <si>
    <t>PORADNIA PSYCHOLOGICZNO-PEDAGOGICZNA NR 1 W SOSNOWCU</t>
  </si>
  <si>
    <t>pp1@sosnowiec.edu.pl</t>
  </si>
  <si>
    <t>PORADNIA PSYCHOLOGICZNO-PEDAGOGICZNA NR 1 W ZAMOŚCIU</t>
  </si>
  <si>
    <t>pppnr1@pppnr1.enetia.pl</t>
  </si>
  <si>
    <t>PORADNIA PSYCHOLOGICZNO-PEDAGOGICZNA NR 10</t>
  </si>
  <si>
    <t>ul. Wrzeciono</t>
  </si>
  <si>
    <t>sekretariat.ppp10@eduwarszawa.pl</t>
  </si>
  <si>
    <t>PORADNIA PSYCHOLOGICZNO-PEDAGOGICZNA NR 13</t>
  </si>
  <si>
    <t>ul. św. Jacka Odrowąża</t>
  </si>
  <si>
    <t>ppp13@eduwarszawa.pl</t>
  </si>
  <si>
    <t>PORADNIA PSYCHOLOGICZNO-PEDAGOGICZNA NR 14</t>
  </si>
  <si>
    <t>ul. Zawiszy</t>
  </si>
  <si>
    <t>zppp1@eduwarszawa.pl</t>
  </si>
  <si>
    <t>PORADNIA PSYCHOLOGICZNO-PEDAGOGICZNA NR 15</t>
  </si>
  <si>
    <t>ppp15@eduwarszawa.pl</t>
  </si>
  <si>
    <t>PORADNIA PSYCHOLOGICZNO-PEDAGOGICZNA NR 16</t>
  </si>
  <si>
    <t>ul. Siennicka</t>
  </si>
  <si>
    <t>ppp16@eduwarszawa.pl</t>
  </si>
  <si>
    <t>PORADNIA PSYCHOLOGICZNO-PEDAGOGICZNA NR 17</t>
  </si>
  <si>
    <t>ul. Żegańska</t>
  </si>
  <si>
    <t>ppp17@eduwarszawa.pl</t>
  </si>
  <si>
    <t>PORADNIA PSYCHOLOGICZNO-PEDAGOGICZNA NR 18</t>
  </si>
  <si>
    <t>ul. Koncertowa</t>
  </si>
  <si>
    <t>ppp18@eduwarszawa.pl</t>
  </si>
  <si>
    <t>PORADNIA PSYCHOLOGICZNO-PEDAGOGICZNA NR 19</t>
  </si>
  <si>
    <t>ul. Eugeniusza Lokajskiego</t>
  </si>
  <si>
    <t>ppp19@eduwarszawa.pl</t>
  </si>
  <si>
    <t>PORADNIA PSYCHOLOGICZNO-PEDAGOGICZNA NR 2</t>
  </si>
  <si>
    <t>ul. Jedności Narodowej</t>
  </si>
  <si>
    <t>sekretariat.ppp2@wroclawskaedukacja.pl</t>
  </si>
  <si>
    <t>ppp2@miasto.szczecin.pl</t>
  </si>
  <si>
    <t>ul. Motylowa</t>
  </si>
  <si>
    <t>kontakt@ppp2.elodz.edu.pl</t>
  </si>
  <si>
    <t>ul. Józefa Chociszewskiego</t>
  </si>
  <si>
    <t>sekretariat@ppp2poznan.pl</t>
  </si>
  <si>
    <t>biuro@ppp2.rzeszow.pl</t>
  </si>
  <si>
    <t>ul. Karolkowa</t>
  </si>
  <si>
    <t>sekretariat.ppp2@eduwarszawa.pl</t>
  </si>
  <si>
    <t>ul. Jana Zygmunta Jakubowskiego</t>
  </si>
  <si>
    <t>ppp2@zjoplock.pl</t>
  </si>
  <si>
    <t>PORADNIA PSYCHOLOGICZNO-PEDAGOGICZNA NR 2 IM. KS. DRA S.WILCZEWSKIEGO</t>
  </si>
  <si>
    <t>ul. Stanisława Łętowskiego</t>
  </si>
  <si>
    <t>sekretariat@ppp2.katowice.pl</t>
  </si>
  <si>
    <t>PORADNIA PSYCHOLOGICZNO-PEDAGOGICZNA NR 2 W BIAŁYMSTOKU</t>
  </si>
  <si>
    <t>ppp2@um.bialystok.pl</t>
  </si>
  <si>
    <t>PORADNIA PSYCHOLOGICZNO-PEDAGOGICZNA NR 2 W BYDGOSZCZY</t>
  </si>
  <si>
    <t>ul. Gawędy</t>
  </si>
  <si>
    <t>ppp2@edu.bydgoszcz.pl</t>
  </si>
  <si>
    <t>PORADNIA PSYCHOLOGICZNO-PEDAGOGICZNA NR 2 W CHEŁMIE</t>
  </si>
  <si>
    <t>ul. Powstańców Warszawy</t>
  </si>
  <si>
    <t>sekretariat@zwipppnr2.pl</t>
  </si>
  <si>
    <t>PORADNIA PSYCHOLOGICZNO-PEDAGOGICZNA NR 2 W KRAKOWIE</t>
  </si>
  <si>
    <t>ul. Siewna</t>
  </si>
  <si>
    <t>ppp2@mjo.krakow.pl</t>
  </si>
  <si>
    <t>PORADNIA PSYCHOLOGICZNO-PEDAGOGICZNA NR 2 W LEGNICY</t>
  </si>
  <si>
    <t>ul. Witelona</t>
  </si>
  <si>
    <t>PORADNIA PSYCHOLOGICZNO-PEDAGOGICZNA NR 2 W LUBLINIE</t>
  </si>
  <si>
    <t>poczta@ppp2.lublin.eu</t>
  </si>
  <si>
    <t>PORADNIA PSYCHOLOGICZNO-PEDAGOGICZNA NR 2 W SOSNOWCU</t>
  </si>
  <si>
    <t>pp2@sosnowiec.edu.pl</t>
  </si>
  <si>
    <t>PORADNIA PSYCHOLOGICZNO-PEDAGOGICZNA NR 22</t>
  </si>
  <si>
    <t>ul. Malownicza</t>
  </si>
  <si>
    <t>ppp22@eduwarszawa.pl</t>
  </si>
  <si>
    <t>PORADNIA PSYCHOLOGICZNO-PEDAGOGICZNA NR 23</t>
  </si>
  <si>
    <t>ul. 1 Praskiego Pułku WP</t>
  </si>
  <si>
    <t>sekretariat.ppp23@eduwarszawa.pl</t>
  </si>
  <si>
    <t>PORADNIA PSYCHOLOGICZNO-PEDAGOGICZNA NR 3</t>
  </si>
  <si>
    <t>ul. Szopienicka</t>
  </si>
  <si>
    <t>poradnia@ppp3.katowice.pl</t>
  </si>
  <si>
    <t>ul. Dowborczyków</t>
  </si>
  <si>
    <t>kontakt@ppp3.elodz.edu.pl</t>
  </si>
  <si>
    <t>ppp3@miasto.szczecin.pl</t>
  </si>
  <si>
    <t>Żoliborz</t>
  </si>
  <si>
    <t>ul. Alojzego Felińskiego</t>
  </si>
  <si>
    <t>sekretariat.ppp3@eduwarszawa.pl</t>
  </si>
  <si>
    <t>PORADNIA PSYCHOLOGICZNO-PEDAGOGICZNA NR 3 W GDAŃSKU</t>
  </si>
  <si>
    <t>ul. Wałowa</t>
  </si>
  <si>
    <t>sekretariat@ppp3.edu.gdansk.pl</t>
  </si>
  <si>
    <t>PORADNIA PSYCHOLOGICZNO-PEDAGOGICZNA NR 3 W KRAKOWIE</t>
  </si>
  <si>
    <t>ul. Konfederacka</t>
  </si>
  <si>
    <t>ppp3@mjo.krakow.pl</t>
  </si>
  <si>
    <t>PORADNIA PSYCHOLOGICZNO-PEDAGOGICZNA NR 3 W LUBLINIE</t>
  </si>
  <si>
    <t>ul. Ignacego Rzeckiego</t>
  </si>
  <si>
    <t>poczta@ppp3.lublin.eu</t>
  </si>
  <si>
    <t>PORADNIA PSYCHOLOGICZNO-PEDAGOGICZNA NR 3 W OLSZTYNIE</t>
  </si>
  <si>
    <t>ul. Mikołaja Kopernika</t>
  </si>
  <si>
    <t>sekretariat@ppp3.olsztyn.eu</t>
  </si>
  <si>
    <t>PORADNIA PSYCHOLOGICZNO-PEDAGOGICZNA NR 4</t>
  </si>
  <si>
    <t>ul. Mińska</t>
  </si>
  <si>
    <t>ppp4@eduwarszawa.pl</t>
  </si>
  <si>
    <t>ul. Eugeniusza Romera</t>
  </si>
  <si>
    <t>ppp4@miasto.szczecin.pl</t>
  </si>
  <si>
    <t>al. marsz. Józefa Piłsudskiego</t>
  </si>
  <si>
    <t>kontakt@ppp4.elodz.edu.pl</t>
  </si>
  <si>
    <t>sekretariat.ppp4@wroclawskaedukacja.pl</t>
  </si>
  <si>
    <t>os. Osiedle Kalinowe</t>
  </si>
  <si>
    <t>ppp4@mjo.krakow.pl</t>
  </si>
  <si>
    <t>PORADNIA PSYCHOLOGICZNO-PEDAGOGICZNA NR 4 POZNAŃ-PIĄTKOWO</t>
  </si>
  <si>
    <t>os. Bolesława Chrobrego</t>
  </si>
  <si>
    <t>sekretariat@ppp4.pl</t>
  </si>
  <si>
    <t>PORADNIA PSYCHOLOGICZNO-PEDAGOGICZNA NR 4 W GDAŃSKU</t>
  </si>
  <si>
    <t>ul. Lucyny Krzemienieckiej</t>
  </si>
  <si>
    <t>sekretariat@ppp4.edu.gdansk.pl</t>
  </si>
  <si>
    <t>PORADNIA PSYCHOLOGICZNO-PEDAGOGICZNA NR 5</t>
  </si>
  <si>
    <t>ul. Piotra Czajkowskiego</t>
  </si>
  <si>
    <t>sekretariat.ppp5@wroclawskaedukacja.pl</t>
  </si>
  <si>
    <t>kontakt@ppp5.elodz.edu.pl</t>
  </si>
  <si>
    <t>ul. Otwocka</t>
  </si>
  <si>
    <t>ppp5@eduwarszawa.pl</t>
  </si>
  <si>
    <t>ul. Michała Grażyńskiego</t>
  </si>
  <si>
    <t>poradnia@ppp5katowice.eu</t>
  </si>
  <si>
    <t>PORADNIA PSYCHOLOGICZNO-PEDAGOGICZNA NR 5 POZNAŃ-STARE MIASTO</t>
  </si>
  <si>
    <t>ul. Feliksa Nowowiejskiego</t>
  </si>
  <si>
    <t>ppp5.poznan@wp.pl</t>
  </si>
  <si>
    <t>PORADNIA PSYCHOLOGICZNO-PEDAGOGICZNA NR 5 W GDAŃSKU</t>
  </si>
  <si>
    <t>ul. Wadowicka</t>
  </si>
  <si>
    <t>sekretariat@ppp5.edu.gdansk.pl</t>
  </si>
  <si>
    <t>PORADNIA PSYCHOLOGICZNO-PEDAGOGICZNA NR 6</t>
  </si>
  <si>
    <t>sekretariat.p6@zppp2.pl</t>
  </si>
  <si>
    <t>kontakt@ppp6.elodz.edu.pl</t>
  </si>
  <si>
    <t>PORADNIA PSYCHOLOGICZNO-PEDAGOGICZNA NR 7</t>
  </si>
  <si>
    <t>ul. Ludwika Narbutta</t>
  </si>
  <si>
    <t>ppp7@eduwarszawa.pl</t>
  </si>
  <si>
    <t>poradnia7poznan@gmail.com</t>
  </si>
  <si>
    <t>PORADNIA PSYCHOLOGICZNO-PEDAGOGICZNA NR 7 W GDAŃSKU</t>
  </si>
  <si>
    <t>ul. Biała</t>
  </si>
  <si>
    <t>sekretariat@ppp7.edu.gdansk.pl</t>
  </si>
  <si>
    <t>PORADNIA PSYCHOLOGICZNO-PEDAGOGICZNA NR 8</t>
  </si>
  <si>
    <t>ul. Stępińska</t>
  </si>
  <si>
    <t>ppp8@eduwarszawa.pl</t>
  </si>
  <si>
    <t>os. Rusa</t>
  </si>
  <si>
    <t>ppp8.poznan@wp.pl</t>
  </si>
  <si>
    <t>PORADNIA PSYCHOLOGICZNO-PEDAGOGICZNA NR 9</t>
  </si>
  <si>
    <t>ul. Radomska</t>
  </si>
  <si>
    <t>sekretariat.ppp9@eduwarszawa.pl</t>
  </si>
  <si>
    <t>ul. Krakowska</t>
  </si>
  <si>
    <t>sekretariat.ppp9@wroclawskaedukacja.pl</t>
  </si>
  <si>
    <t>PORADNIA PSYCHOLOGICZNO-PEDAGOGICZNA OŚWIATOWIEC</t>
  </si>
  <si>
    <t>info.oswiatowiec@gmail.com</t>
  </si>
  <si>
    <t>PORADNIA PSYCHOLOGICZNO-PEDAGOGICZNA PEGAZ</t>
  </si>
  <si>
    <t>Dąbrowa</t>
  </si>
  <si>
    <t>ul. Bosmańska</t>
  </si>
  <si>
    <t>rejestracjabanino@pegaz.la</t>
  </si>
  <si>
    <t>ul. Powstańców Warszawskich</t>
  </si>
  <si>
    <t>PORADNIA PSYCHOLOGICZNO-PEDAGOGICZNA PRO EUROPA</t>
  </si>
  <si>
    <t>ul. Wrześnieńska</t>
  </si>
  <si>
    <t>PORADNIA PSYCHOLOGICZNO-PEDAGOGICZNA PRO FUTURO</t>
  </si>
  <si>
    <t>Blizne Łaszczyńskiego</t>
  </si>
  <si>
    <t>ul. Przyszłości</t>
  </si>
  <si>
    <t>PORADNIA PSYCHOLOGICZNO-PEDAGOGICZNA PRZYLĄDEK NADZIEI</t>
  </si>
  <si>
    <t>PORADNIA PSYCHOLOGICZNO-PEDAGOGICZNA REMEDIUM</t>
  </si>
  <si>
    <t>ul. III Powstania Śląskiego</t>
  </si>
  <si>
    <t>biuro@centrumremedium.pl</t>
  </si>
  <si>
    <t>PORADNIA PSYCHOLOGICZNO-PEDAGOGICZNA TARNOWSKIEJ SZKOŁY WYŻSZEJ W TARNOWIE</t>
  </si>
  <si>
    <t>uczelnia@tszw.edu.pl</t>
  </si>
  <si>
    <t>PORADNIA PSYCHOLOGICZNO-PEDAGOGICZNA TORUŃ</t>
  </si>
  <si>
    <t>ul. Kosynierów Kościuszkowskich</t>
  </si>
  <si>
    <t>sekretariat@ppp.torun.pl</t>
  </si>
  <si>
    <t>PORADNIA PSYCHOLOGICZNO-PEDAGOGICZNA TOWARZYSTWA PRZYJACIÓŁ DZIECI</t>
  </si>
  <si>
    <t>ul. Hafciarska</t>
  </si>
  <si>
    <t>poradnia@helenow.pl</t>
  </si>
  <si>
    <t>PORADNIA PSYCHOLOGICZNO-PEDAGOGICZNA VERTIMED</t>
  </si>
  <si>
    <t>ul. Ksawerego Bronikowskiego</t>
  </si>
  <si>
    <t>PORADNIA PSYCHOLOGICZNO-PEDAGOGICZNA W ANDRYCHOWIE</t>
  </si>
  <si>
    <t>ul. Metalowców</t>
  </si>
  <si>
    <t>poradnia@pppandrychow.pl</t>
  </si>
  <si>
    <t>PORADNIA PSYCHOLOGICZNO-PEDAGOGICZNA W AUGUSTOWIE</t>
  </si>
  <si>
    <t>ul. Młyńska</t>
  </si>
  <si>
    <t>ppp@st.augustow.wrotapodlasia.pl</t>
  </si>
  <si>
    <t>PORADNIA PSYCHOLOGICZNO-PEDAGOGICZNA W BARLINKU</t>
  </si>
  <si>
    <t>Barlinek</t>
  </si>
  <si>
    <t>ul. Szosowa</t>
  </si>
  <si>
    <t>pp-pbarlinek@o2.pl</t>
  </si>
  <si>
    <t>PORADNIA PSYCHOLOGICZNO-PEDAGOGICZNA W BEŁCHATOWIE</t>
  </si>
  <si>
    <t>ul. Czapliniecka</t>
  </si>
  <si>
    <t>poradnia@pppbelchatow.pl</t>
  </si>
  <si>
    <t>PORADNIA PSYCHOLOGICZNO-PEDAGOGICZNA W BIAŁEJ PODLASKIEJ</t>
  </si>
  <si>
    <t>pppbp@op.pl</t>
  </si>
  <si>
    <t>PORADNIA PSYCHOLOGICZNO-PEDAGOGICZNA W BIERUNIU</t>
  </si>
  <si>
    <t>bieruńsko-lędziński</t>
  </si>
  <si>
    <t>Bieruń</t>
  </si>
  <si>
    <t>ul. Granitowa</t>
  </si>
  <si>
    <t>sekretariat@pppbierun.pl</t>
  </si>
  <si>
    <t>PORADNIA PSYCHOLOGICZNO-PEDAGOGICZNA W BIŁGORAJU</t>
  </si>
  <si>
    <t>biłgorajski</t>
  </si>
  <si>
    <t>Biłgoraj</t>
  </si>
  <si>
    <t>sekretariat@ppp.lbl.pl</t>
  </si>
  <si>
    <t>PORADNIA PSYCHOLOGICZNO-PEDAGOGICZNA W BLIZNEM JASIŃSKIEGO</t>
  </si>
  <si>
    <t>Blizne Jasińskiego</t>
  </si>
  <si>
    <t>sekretariat_blizne@zpppblonie.pl</t>
  </si>
  <si>
    <t>PORADNIA PSYCHOLOGICZNO-PEDAGOGICZNA W BŁONIU</t>
  </si>
  <si>
    <t>Błonie</t>
  </si>
  <si>
    <t>ul. Piłsudskiego</t>
  </si>
  <si>
    <t>sekretariat@zpppblonie.pl</t>
  </si>
  <si>
    <t>PORADNIA PSYCHOLOGICZNO-PEDAGOGICZNA W BOGATYNI</t>
  </si>
  <si>
    <t>Bogatynia</t>
  </si>
  <si>
    <t>sekretariat@poradniabogatynia.pl</t>
  </si>
  <si>
    <t>PORADNIA PSYCHOLOGICZNO-PEDAGOGICZNA W BOLESŁAWCU</t>
  </si>
  <si>
    <t>ul. Heleny i Wincentego Tyrankiewiczów</t>
  </si>
  <si>
    <t>poradnia@pppboleslawiec.pl</t>
  </si>
  <si>
    <t>PORADNIA PSYCHOLOGICZNO-PEDAGOGICZNA W BRANIEWIE</t>
  </si>
  <si>
    <t>sekretariat@pppbraniewo.edu.pl</t>
  </si>
  <si>
    <t>PORADNIA PSYCHOLOGICZNO-PEDAGOGICZNA W BRZEGU</t>
  </si>
  <si>
    <t>brzeski</t>
  </si>
  <si>
    <t>Brzeg</t>
  </si>
  <si>
    <t>ul. Poprzeczna</t>
  </si>
  <si>
    <t>sekretariat@poradnia-brzeg.edu.pl</t>
  </si>
  <si>
    <t>PORADNIA PSYCHOLOGICZNO-PEDAGOGICZNA W BRZEGU DOLNYM</t>
  </si>
  <si>
    <t>Brzeg Dolny</t>
  </si>
  <si>
    <t>pppbd@wolowpce.pl</t>
  </si>
  <si>
    <t>PORADNIA PSYCHOLOGICZNO-PEDAGOGICZNA W BRZESKU</t>
  </si>
  <si>
    <t>Brzesko</t>
  </si>
  <si>
    <t>sekretariat@pppbrzesko.pl</t>
  </si>
  <si>
    <t>PORADNIA PSYCHOLOGICZNO-PEDAGOGICZNA W BRZESZCZACH</t>
  </si>
  <si>
    <t>oświęcimski</t>
  </si>
  <si>
    <t>Brzeszcze</t>
  </si>
  <si>
    <t>ul. Nosala</t>
  </si>
  <si>
    <t>sekretariat.pppb@powiat.oswiecim.pl</t>
  </si>
  <si>
    <t>Oświęcim</t>
  </si>
  <si>
    <t>PORADNIA PSYCHOLOGICZNO-PEDAGOGICZNA W BRZEZINACH</t>
  </si>
  <si>
    <t>brzeziński</t>
  </si>
  <si>
    <t>Brzeziny</t>
  </si>
  <si>
    <t>ul. Konstytucji 3 Maja</t>
  </si>
  <si>
    <t>poradnia@pppbrzeziny.pl</t>
  </si>
  <si>
    <t>PORADNIA PSYCHOLOGICZNO-PEDAGOGICZNA W BUSKU-ZDROJU</t>
  </si>
  <si>
    <t>sekretariat@ppp.busko.pl</t>
  </si>
  <si>
    <t>PORADNIA PSYCHOLOGICZNO-PEDAGOGICZNA W BYTOWIE</t>
  </si>
  <si>
    <t>bytowski</t>
  </si>
  <si>
    <t>Bytów</t>
  </si>
  <si>
    <t>sekretariat@poradniabytow.pl</t>
  </si>
  <si>
    <t>PORADNIA PSYCHOLOGICZNO-PEDAGOGICZNA W CHEŁMNIE</t>
  </si>
  <si>
    <t>chełmiński</t>
  </si>
  <si>
    <t>Chełmno</t>
  </si>
  <si>
    <t>ul. Dominikańska</t>
  </si>
  <si>
    <t>poradnia@ppp-chelmno.pl</t>
  </si>
  <si>
    <t>Chełmża</t>
  </si>
  <si>
    <t>sekretariat@poradnia-chelmza.pl</t>
  </si>
  <si>
    <t>PORADNIA PSYCHOLOGICZNO-PEDAGOGICZNA W CHOJNICACH</t>
  </si>
  <si>
    <t>chojnicki</t>
  </si>
  <si>
    <t>Chojnice</t>
  </si>
  <si>
    <t>pppchojnice@op.pl</t>
  </si>
  <si>
    <t>PORADNIA PSYCHOLOGICZNO-PEDAGOGICZNA W CHOSZCZNIE</t>
  </si>
  <si>
    <t>choszczeński</t>
  </si>
  <si>
    <t>Choszczno</t>
  </si>
  <si>
    <t>poradniachoszczno@wp.pl</t>
  </si>
  <si>
    <t>PORADNIA PSYCHOLOGICZNO-PEDAGOGICZNA W CHRZANOWIE</t>
  </si>
  <si>
    <t>ul. marsz. F. Focha</t>
  </si>
  <si>
    <t>pppchrzanow@post.pl</t>
  </si>
  <si>
    <t>PORADNIA PSYCHOLOGICZNO-PEDAGOGICZNA W CIECHANOWIE</t>
  </si>
  <si>
    <t>info@pppciechanow.pl</t>
  </si>
  <si>
    <t>PORADNIA PSYCHOLOGICZNO-PEDAGOGICZNA W CZARNKOWIE</t>
  </si>
  <si>
    <t>czarnkowsko-trzcianecki</t>
  </si>
  <si>
    <t>Czarnków</t>
  </si>
  <si>
    <t>poradniapp@post.pl</t>
  </si>
  <si>
    <t>PORADNIA PSYCHOLOGICZNO-PEDAGOGICZNA W DĄBROWIE TARNOWSKIEJ</t>
  </si>
  <si>
    <t>dąbrowski</t>
  </si>
  <si>
    <t>Dąbrowa Tarnowska</t>
  </si>
  <si>
    <t>ul. Szpitalna</t>
  </si>
  <si>
    <t>pppdabrowa@interia.pl</t>
  </si>
  <si>
    <t>PORADNIA PSYCHOLOGICZNO-PEDAGOGICZNA W DĘBICY</t>
  </si>
  <si>
    <t>Dębica</t>
  </si>
  <si>
    <t>sekretariat@poradniadebica.pl</t>
  </si>
  <si>
    <t>PORADNIA PSYCHOLOGICZNO-PEDAGOGICZNA W DĘBNIE</t>
  </si>
  <si>
    <t>Dębno</t>
  </si>
  <si>
    <t>pppdebno@wp.pl</t>
  </si>
  <si>
    <t>PORADNIA PSYCHOLOGICZNO-PEDAGOGICZNA W DOBCZYCACH</t>
  </si>
  <si>
    <t>Dobczyce</t>
  </si>
  <si>
    <t>poradniapp@autograf.pl</t>
  </si>
  <si>
    <t>PORADNIA PSYCHOLOGICZNO-PEDAGOGICZNA W DRAWSKU POMORSKIM</t>
  </si>
  <si>
    <t>Drawsko Pomorskie</t>
  </si>
  <si>
    <t>ppp.drawsko@poczta.onet.pl</t>
  </si>
  <si>
    <t>PORADNIA PSYCHOLOGICZNO-PEDAGOGICZNA W DZIAŁDOWIE</t>
  </si>
  <si>
    <t>działdowski</t>
  </si>
  <si>
    <t>Działdowo</t>
  </si>
  <si>
    <t>porpsych@hot.pl</t>
  </si>
  <si>
    <t>PORADNIA PSYCHOLOGICZNO-PEDAGOGICZNA W DZIAŁDOWIE FILIA W LIDZBARKU</t>
  </si>
  <si>
    <t>Lidzbark</t>
  </si>
  <si>
    <t>ul. Garbuzy</t>
  </si>
  <si>
    <t>filia.sekretariat@poradniadzialdowo.pl</t>
  </si>
  <si>
    <t>PORADNIA PSYCHOLOGICZNO-PEDAGOGICZNA W DZIEKANOWIE LEŚNYM</t>
  </si>
  <si>
    <t>Dziekanów Leśny</t>
  </si>
  <si>
    <t>ul. por. Francisa Akinsa</t>
  </si>
  <si>
    <t>sekretariat_dziekanow@zpppblonie.pl</t>
  </si>
  <si>
    <t>PORADNIA PSYCHOLOGICZNO-PEDAGOGICZNA W EŁKU</t>
  </si>
  <si>
    <t>ul. Michała Kajki</t>
  </si>
  <si>
    <t>pcpp-p@powiat.elk.pl</t>
  </si>
  <si>
    <t>PORADNIA PSYCHOLOGICZNO-PEDAGOGICZNA W GARWOLINIE</t>
  </si>
  <si>
    <t>poradnia@pppgarwolin.pl</t>
  </si>
  <si>
    <t>PORADNIA PSYCHOLOGICZNO-PEDAGOGICZNA W GLIWICACH</t>
  </si>
  <si>
    <t>ul. Aleksandra Gierymskiego</t>
  </si>
  <si>
    <t>sekretariat@ppp.gliwice.eu</t>
  </si>
  <si>
    <t>PORADNIA PSYCHOLOGICZNO-PEDAGOGICZNA W GŁOGOWIE</t>
  </si>
  <si>
    <t>ul. Folwarczna</t>
  </si>
  <si>
    <t>centrum@pcpppidn.eu</t>
  </si>
  <si>
    <t>PORADNIA PSYCHOLOGICZNO-PEDAGOGICZNA W GOŁDAPI</t>
  </si>
  <si>
    <t>gołdapski</t>
  </si>
  <si>
    <t>Gołdap</t>
  </si>
  <si>
    <t>dyrektor@ppp.powiatgoldap.pl</t>
  </si>
  <si>
    <t>PORADNIA PSYCHOLOGICZNO-PEDAGOGICZNA W GORLICACH</t>
  </si>
  <si>
    <t>poradnia11@poradnia-gorlice.pl</t>
  </si>
  <si>
    <t>PORADNIA PSYCHOLOGICZNO-PEDAGOGICZNA W GORLICACH FILIA W BIECZU</t>
  </si>
  <si>
    <t>Biecz</t>
  </si>
  <si>
    <t>ppp_biecz@poradnia-gorlice.pl</t>
  </si>
  <si>
    <t>PORADNIA PSYCHOLOGICZNO-PEDAGOGICZNA W GÓRZE</t>
  </si>
  <si>
    <t>górowski</t>
  </si>
  <si>
    <t>Góra</t>
  </si>
  <si>
    <t>pl. Bolesława Chrobrego</t>
  </si>
  <si>
    <t>pppgora@pcdn.edu.pl</t>
  </si>
  <si>
    <t>PORADNIA PSYCHOLOGICZNO-PEDAGOGICZNA W GOSTYNINIE</t>
  </si>
  <si>
    <t>gostyniński</t>
  </si>
  <si>
    <t>Gostynin</t>
  </si>
  <si>
    <t>ul. Józefa Ozdowskiego</t>
  </si>
  <si>
    <t>poradnia@ppp-gostynin.edu.pl</t>
  </si>
  <si>
    <t>PORADNIA PSYCHOLOGICZNO-PEDAGOGICZNA W GOSTYNIU</t>
  </si>
  <si>
    <t>gostyński</t>
  </si>
  <si>
    <t>Gostyń</t>
  </si>
  <si>
    <t>poradnia@poradniapp.gostyn.pl</t>
  </si>
  <si>
    <t>PORADNIA PSYCHOLOGICZNO-PEDAGOGICZNA W GRAJEWIE</t>
  </si>
  <si>
    <t>ul. A. Mickiewicza</t>
  </si>
  <si>
    <t>poradnia@ppp.grajewo.com</t>
  </si>
  <si>
    <t>PORADNIA PSYCHOLOGICZNO-PEDAGOGICZNA W GRODKOWIE</t>
  </si>
  <si>
    <t>Grodków</t>
  </si>
  <si>
    <t>ul. Kasztanowa</t>
  </si>
  <si>
    <t>kontakt@poradniagrodkow.pl</t>
  </si>
  <si>
    <t>PORADNIA PSYCHOLOGICZNO-PEDAGOGICZNA W GRÓJCU</t>
  </si>
  <si>
    <t>ul. Polskiej Organizacji Wojskowej</t>
  </si>
  <si>
    <t>sekretariat.pppgrojec@grojec.pl</t>
  </si>
  <si>
    <t>PORADNIA PSYCHOLOGICZNO-PEDAGOGICZNA W GRYFICACH</t>
  </si>
  <si>
    <t>gryficki</t>
  </si>
  <si>
    <t>Gryfice</t>
  </si>
  <si>
    <t>ppp@gryfice.pl</t>
  </si>
  <si>
    <t>PORADNIA PSYCHOLOGICZNO-PEDAGOGICZNA W GRYFINIE</t>
  </si>
  <si>
    <t>gryfiński</t>
  </si>
  <si>
    <t>Gryfino</t>
  </si>
  <si>
    <t>gryfino@pppgryfino.pl</t>
  </si>
  <si>
    <t>PORADNIA PSYCHOLOGICZNO-PEDAGOGICZNA W GRYFINIE FILIA W CHOJNIE</t>
  </si>
  <si>
    <t>Chojna</t>
  </si>
  <si>
    <t>chojna@pppgryfino.pl</t>
  </si>
  <si>
    <t>PORADNIA PSYCHOLOGICZNO-PEDAGOGICZNA W GUBINIE</t>
  </si>
  <si>
    <t>Gubin</t>
  </si>
  <si>
    <t>ul. Generała Pułaskiego</t>
  </si>
  <si>
    <t>ppp_gubin@interia.pl</t>
  </si>
  <si>
    <t>PORADNIA PSYCHOLOGICZNO-PEDAGOGICZNA W HRUBIESZOWIE</t>
  </si>
  <si>
    <t>ul. Zamojska</t>
  </si>
  <si>
    <t>poradnia@ppphrubieszow.pl</t>
  </si>
  <si>
    <t>PORADNIA PSYCHOLOGICZNO-PEDAGOGICZNA W IŁŻY</t>
  </si>
  <si>
    <t>radomski</t>
  </si>
  <si>
    <t>Iłża</t>
  </si>
  <si>
    <t>ul. Maksymiliana Jakubowskiego</t>
  </si>
  <si>
    <t>ppped1@wp.pl</t>
  </si>
  <si>
    <t>PORADNIA PSYCHOLOGICZNO-PEDAGOGICZNA W INOWROCŁAWIU</t>
  </si>
  <si>
    <t>al. Ratuszowa</t>
  </si>
  <si>
    <t>poradnia@pppinowroclaw.pl</t>
  </si>
  <si>
    <t>PORADNIA PSYCHOLOGICZNO-PEDAGOGICZNA W INOWROCŁAWIU - FILIA W KRUSZWICY</t>
  </si>
  <si>
    <t>Kruszwica</t>
  </si>
  <si>
    <t>ul. Rybacka</t>
  </si>
  <si>
    <t>PORADNIA PSYCHOLOGICZNO-PEDAGOGICZNA W JANOWIE LUBELSKIM</t>
  </si>
  <si>
    <t>janowski</t>
  </si>
  <si>
    <t>Janów Lubelski</t>
  </si>
  <si>
    <t>ul. Jana Zamoyskiego</t>
  </si>
  <si>
    <t>pppjanow@wp.pl</t>
  </si>
  <si>
    <t>PORADNIA PSYCHOLOGICZNO-PEDAGOGICZNA W JAROCINIE</t>
  </si>
  <si>
    <t>ul. Szubianki</t>
  </si>
  <si>
    <t>sekrerariat@poradniajarocin.pl</t>
  </si>
  <si>
    <t>PORADNIA PSYCHOLOGICZNO-PEDAGOGICZNA W JAŚLE</t>
  </si>
  <si>
    <t>pppjaslo@wp.pl</t>
  </si>
  <si>
    <t>PORADNIA PSYCHOLOGICZNO-PEDAGOGICZNA W JAWORZNIE</t>
  </si>
  <si>
    <t>ul. Inwalidów Wojennych</t>
  </si>
  <si>
    <t>sekretariat@ppp.jaworzno.edu.pl</t>
  </si>
  <si>
    <t>PORADNIA PSYCHOLOGICZNO-PEDAGOGICZNA W JĘDRZEJOWIE</t>
  </si>
  <si>
    <t>poradnia.jedrzejow@poczta.onet.pl</t>
  </si>
  <si>
    <t>PORADNIA PSYCHOLOGICZNO-PEDAGOGICZNA W JELCZU-LASKOWICACH</t>
  </si>
  <si>
    <t>ul. Aleja Młodych</t>
  </si>
  <si>
    <t>sekretariat@pppjelczlaskowice.pl</t>
  </si>
  <si>
    <t>Oława</t>
  </si>
  <si>
    <t>PORADNIA PSYCHOLOGICZNO-PEDAGOGICZNA W KAMIENIU POMORSKIM</t>
  </si>
  <si>
    <t>ul. Wolińska</t>
  </si>
  <si>
    <t>sekretariat@pppkamien.pl</t>
  </si>
  <si>
    <t>PORADNIA PSYCHOLOGICZNO-PEDAGOGICZNA W KARTUZACH</t>
  </si>
  <si>
    <t>sekretariat@pppkartuzy.pl</t>
  </si>
  <si>
    <t>PORADNIA PSYCHOLOGICZNO-PEDAGOGICZNA W KAZIMIERZY WIELKIEJ</t>
  </si>
  <si>
    <t>kazimierski</t>
  </si>
  <si>
    <t>Kazimierza Wielka</t>
  </si>
  <si>
    <t>sekretariat@poradnia.kazimierzaw.pl</t>
  </si>
  <si>
    <t>PORADNIA PSYCHOLOGICZNO-PEDAGOGICZNA W KĘPNIE</t>
  </si>
  <si>
    <t>ul. Sienkiewicza</t>
  </si>
  <si>
    <t>pppkepno@op.pl</t>
  </si>
  <si>
    <t>PORADNIA PSYCHOLOGICZNO-PEDAGOGICZNA W KĘTACH</t>
  </si>
  <si>
    <t>Kęty</t>
  </si>
  <si>
    <t>biuro@poradniakety.pl</t>
  </si>
  <si>
    <t>PORADNIA PSYCHOLOGICZNO-PEDAGOGICZNA W KŁECKU</t>
  </si>
  <si>
    <t>Kłecko</t>
  </si>
  <si>
    <t>poradnia@pppk.powiat-gniezno.pl</t>
  </si>
  <si>
    <t>PORADNIA PSYCHOLOGICZNO-PEDAGOGICZNA W KLUCZBORKU</t>
  </si>
  <si>
    <t>kluczborski</t>
  </si>
  <si>
    <t>Kluczbork</t>
  </si>
  <si>
    <t>sekretariat@poradniakluczbork.pl</t>
  </si>
  <si>
    <t>PORADNIA PSYCHOLOGICZNO-PEDAGOGICZNA W KNUROWIE</t>
  </si>
  <si>
    <t>ul. Kosmonautów</t>
  </si>
  <si>
    <t>sekretariat@pppknurow.com.pl</t>
  </si>
  <si>
    <t>PORADNIA PSYCHOLOGICZNO-PEDAGOGICZNA W KOLBUSZOWEJ</t>
  </si>
  <si>
    <t>kolbuszowski</t>
  </si>
  <si>
    <t>Kolbuszowa</t>
  </si>
  <si>
    <t>ul. 11-go Listopada</t>
  </si>
  <si>
    <t>ppp@kolbuszowski.pl</t>
  </si>
  <si>
    <t>PORADNIA PSYCHOLOGICZNO-PEDAGOGICZNA W KOLNIE</t>
  </si>
  <si>
    <t>kolneński</t>
  </si>
  <si>
    <t>Kolno</t>
  </si>
  <si>
    <t>ppp@powiatkolno.pl</t>
  </si>
  <si>
    <t>PORADNIA PSYCHOLOGICZNO-PEDAGOGICZNA W KOLUSZKACH</t>
  </si>
  <si>
    <t>ul. Korczaka</t>
  </si>
  <si>
    <t>sekretariat@pppkoluszki.eu</t>
  </si>
  <si>
    <t>PORADNIA PSYCHOLOGICZNO-PEDAGOGICZNA W KOŃSKICH</t>
  </si>
  <si>
    <t>konecki</t>
  </si>
  <si>
    <t>Końskie</t>
  </si>
  <si>
    <t>ppp.konskie@wp.pl</t>
  </si>
  <si>
    <t>PORADNIA PSYCHOLOGICZNO-PEDAGOGICZNA W KONSTANTYNOWIE ŁÓDZKIM</t>
  </si>
  <si>
    <t>Konstantynów Łódzki</t>
  </si>
  <si>
    <t>sekretariat@pppkonstantynow.pl</t>
  </si>
  <si>
    <t>PORADNIA PSYCHOLOGICZNO-PEDAGOGICZNA W KOSTRZYNIE NAD ODRĄ</t>
  </si>
  <si>
    <t>os. Osiedle Leśne</t>
  </si>
  <si>
    <t>kontakt@pppkostrzyn.pl</t>
  </si>
  <si>
    <t>PORADNIA PSYCHOLOGICZNO-PEDAGOGICZNA W KOZIENCACH</t>
  </si>
  <si>
    <t>poradnia.psych.ped@kozienicepowiat.pl</t>
  </si>
  <si>
    <t>PORADNIA PSYCHOLOGICZNO-PEDAGOGICZNA W KROTOSZYNIE</t>
  </si>
  <si>
    <t>krotoszyński</t>
  </si>
  <si>
    <t>Krotoszyn</t>
  </si>
  <si>
    <t>ul. Floriańska</t>
  </si>
  <si>
    <t>sekretariat@ppp.krotoszyn.pl</t>
  </si>
  <si>
    <t>PORADNIA PSYCHOLOGICZNO-PEDAGOGICZNA W KRZESZOWICACH</t>
  </si>
  <si>
    <t>Krzeszowice</t>
  </si>
  <si>
    <t>poradnia.krzeszowice@interia.eu</t>
  </si>
  <si>
    <t>PORADNIA PSYCHOLOGICZNO-PEDAGOGICZNA W KRZYŻU WLKP.</t>
  </si>
  <si>
    <t>Krzyż Wielkopolski</t>
  </si>
  <si>
    <t>sekretariat@pppkrzyz.pl</t>
  </si>
  <si>
    <t>PORADNIA PSYCHOLOGICZNO-PEDAGOGICZNA W KUTNIE</t>
  </si>
  <si>
    <t>pppkutno@poczta.onet.pl</t>
  </si>
  <si>
    <t>PORADNIA PSYCHOLOGICZNO-PEDAGOGICZNA W KWIDZYNIE</t>
  </si>
  <si>
    <t>ul. Grudziądzka</t>
  </si>
  <si>
    <t>ppp@pppkwidzyn.pl</t>
  </si>
  <si>
    <t>PORADNIA PSYCHOLOGICZNO-PEDAGOGICZNA W KWIDZYNIE FILIA W PRABUTACH</t>
  </si>
  <si>
    <t>Prabuty</t>
  </si>
  <si>
    <t>ul. Reymonta</t>
  </si>
  <si>
    <t>prabuty@pppkwidzyn.pl</t>
  </si>
  <si>
    <t>PORADNIA PSYCHOLOGICZNO-PEDAGOGICZNA W ŁAPACH</t>
  </si>
  <si>
    <t>Łapy</t>
  </si>
  <si>
    <t>ul. Bohaterów Westerplatte</t>
  </si>
  <si>
    <t>kontakt@ppp.lapy.pl</t>
  </si>
  <si>
    <t>PORADNIA PSYCHOLOGICZNO-PEDAGOGICZNA W ŁĘCZNEJ</t>
  </si>
  <si>
    <t>łęczyński</t>
  </si>
  <si>
    <t>Łęczna</t>
  </si>
  <si>
    <t>ul. Aleja Jana Pawła II</t>
  </si>
  <si>
    <t>ppp@ppp.powiatleczynski.pl</t>
  </si>
  <si>
    <t>PORADNIA PSYCHOLOGICZNO-PEDAGOGICZNA W LESZNIE</t>
  </si>
  <si>
    <t>Leszno</t>
  </si>
  <si>
    <t>kontakt@poradnia-leszno.pl</t>
  </si>
  <si>
    <t>PORADNIA PSYCHOLOGICZNO-PEDAGOGICZNA W LIPNIE</t>
  </si>
  <si>
    <t>lipnowski</t>
  </si>
  <si>
    <t>Lipno</t>
  </si>
  <si>
    <t>pl. Plac 11 Listopada</t>
  </si>
  <si>
    <t>sekretariat@poradnialipno.pl</t>
  </si>
  <si>
    <t>PORADNIA PSYCHOLOGICZNO-PEDAGOGICZNA W LIPSKU</t>
  </si>
  <si>
    <t>lipski</t>
  </si>
  <si>
    <t>Lipsko</t>
  </si>
  <si>
    <t>ul. Zwoleńska</t>
  </si>
  <si>
    <t>sekretariat@poradniapplipsko.pl</t>
  </si>
  <si>
    <t>PORADNIA PSYCHOLOGICZNO-PEDAGOGICZNA W ŁOWICZU</t>
  </si>
  <si>
    <t>łowicki</t>
  </si>
  <si>
    <t>Łowicz</t>
  </si>
  <si>
    <t>poczta@poradnia.lowicz.pl</t>
  </si>
  <si>
    <t>PORADNIA PSYCHOLOGICZNO-PEDAGOGICZNA W LUBACZOWIE</t>
  </si>
  <si>
    <t>lubaczowski</t>
  </si>
  <si>
    <t>Lubaczów</t>
  </si>
  <si>
    <t>poradnia@powiatlubaczowski.pl</t>
  </si>
  <si>
    <t>PORADNIA PSYCHOLOGICZNO-PEDAGOGICZNA W LUBANIU</t>
  </si>
  <si>
    <t>lubański</t>
  </si>
  <si>
    <t>Lubań</t>
  </si>
  <si>
    <t>ul. Władysława Łokietka</t>
  </si>
  <si>
    <t>pppluban@poczta.onet.pl</t>
  </si>
  <si>
    <t>PORADNIA PSYCHOLOGICZNO-PEDAGOGICZNA W LUBINIE</t>
  </si>
  <si>
    <t>ul. Aleja Komisji Edukacji Narodowej</t>
  </si>
  <si>
    <t>poradnia@ppplubin.pl</t>
  </si>
  <si>
    <t>Luboń</t>
  </si>
  <si>
    <t>sekretariat@ppplubon.pl</t>
  </si>
  <si>
    <t>PORADNIA PSYCHOLOGICZNO-PEDAGOGICZNA W LUBONIU FILIA W SUCHYM LESIE</t>
  </si>
  <si>
    <t>suchylas@ppplubon.pl</t>
  </si>
  <si>
    <t>PORADNIA PSYCHOLOGICZNO-PEDAGOGICZNA W LUBONIU FILIA W TARNOWIE PODGÓRNYM</t>
  </si>
  <si>
    <t>tarnowopodgorne@ppplubon.pl</t>
  </si>
  <si>
    <t>PORADNIA PSYCHOLOGICZNO-PEDAGOGICZNA W ŁUKOWIE</t>
  </si>
  <si>
    <t>Łuków</t>
  </si>
  <si>
    <t>ul. ks. kard. Stefana Wyszyńskiego</t>
  </si>
  <si>
    <t>ppp_lukow@interia.pl</t>
  </si>
  <si>
    <t>PORADNIA PSYCHOLOGICZNO-PEDAGOGICZNA W LWÓWKU ŚLĄSKIM</t>
  </si>
  <si>
    <t>poradniapp.lwoweksl@neostrada.pl</t>
  </si>
  <si>
    <t>PORADNIA PSYCHOLOGICZNO-PEDAGOGICZNA W ŁYSOMICACH</t>
  </si>
  <si>
    <t>Łysomice</t>
  </si>
  <si>
    <t>poradnia@lysomice.pl</t>
  </si>
  <si>
    <t>PORADNIA PSYCHOLOGICZNO-PEDAGOGICZNA W MIASTKU</t>
  </si>
  <si>
    <t>Miastko</t>
  </si>
  <si>
    <t>biuro@poradnia.miastko.com.pl</t>
  </si>
  <si>
    <t>PORADNIA PSYCHOLOGICZNO-PEDAGOGICZNA W MIECHOWIE</t>
  </si>
  <si>
    <t>miechowski</t>
  </si>
  <si>
    <t>Miechów</t>
  </si>
  <si>
    <t>poradnia@miechow.com</t>
  </si>
  <si>
    <t>PORADNIA PSYCHOLOGICZNO-PEDAGOGICZNA W MIĘDZYCHODZIE</t>
  </si>
  <si>
    <t>międzychodzki</t>
  </si>
  <si>
    <t>Międzychód</t>
  </si>
  <si>
    <t>ul. św. Jana Pawła II</t>
  </si>
  <si>
    <t>mchod.poradnia@poczta.fm</t>
  </si>
  <si>
    <t>PORADNIA PSYCHOLOGICZNO-PEDAGOGICZNA W MIEJSCU PIASTOWYM</t>
  </si>
  <si>
    <t>Miejsce Piastowe</t>
  </si>
  <si>
    <t>ul. Dworska</t>
  </si>
  <si>
    <t>ppp_mpiastowe@op.pl</t>
  </si>
  <si>
    <t>PORADNIA PSYCHOLOGICZNO-PEDAGOGICZNA W MILICZ</t>
  </si>
  <si>
    <t>milicki</t>
  </si>
  <si>
    <t>Milicz</t>
  </si>
  <si>
    <t>ul. Trzebnicka</t>
  </si>
  <si>
    <t>poradnia@pceipp.pl</t>
  </si>
  <si>
    <t>PORADNIA PSYCHOLOGICZNO-PEDAGOGICZNA W MIŃSKU MAZOWIECKIM</t>
  </si>
  <si>
    <t>sekretariat@poradniamm.edu.pl</t>
  </si>
  <si>
    <t>PORADNIA PSYCHOLOGICZNO-PEDAGOGICZNA W MŁAWIE</t>
  </si>
  <si>
    <t>mławski</t>
  </si>
  <si>
    <t>Mława</t>
  </si>
  <si>
    <t>ppp_mlawa@poczta.onet.pl</t>
  </si>
  <si>
    <t>PORADNIA PSYCHOLOGICZNO-PEDAGOGICZNA W MOGILNIE</t>
  </si>
  <si>
    <t>mogileński</t>
  </si>
  <si>
    <t>Mogilno</t>
  </si>
  <si>
    <t>ul. Benedyktyńska</t>
  </si>
  <si>
    <t>poradnia_mogilno@wp.pl</t>
  </si>
  <si>
    <t>PORADNIA PSYCHOLOGICZNO-PEDAGOGICZNA W MOŃKACH</t>
  </si>
  <si>
    <t>moniecki</t>
  </si>
  <si>
    <t>Mońki</t>
  </si>
  <si>
    <t>ul. Tysiąclecia</t>
  </si>
  <si>
    <t>kancelaria@pppmonki.pl</t>
  </si>
  <si>
    <t>PORADNIA PSYCHOLOGICZNO-PEDAGOGICZNA W MORĄGU</t>
  </si>
  <si>
    <t>Morąg</t>
  </si>
  <si>
    <t>poradniappp@moragzszio.com.pl</t>
  </si>
  <si>
    <t>PORADNIA PSYCHOLOGICZNO-PEDAGOGICZNA W MRĄGOWIE</t>
  </si>
  <si>
    <t>mrągowski</t>
  </si>
  <si>
    <t>Mrągowo</t>
  </si>
  <si>
    <t>ul. Nadbrzeżna</t>
  </si>
  <si>
    <t>biuro@poradnia-mragowo.pl</t>
  </si>
  <si>
    <t>PORADNIA PSYCHOLOGICZNO-PEDAGOGICZNA W MYŚLIBORZU</t>
  </si>
  <si>
    <t>sekretariat@pppmysliborz.pl</t>
  </si>
  <si>
    <t>PORADNIA PSYCHOLOGICZNO-PEDAGOGICZNA W MYSŁOWICACH</t>
  </si>
  <si>
    <t>ul. Wielka Skotnica</t>
  </si>
  <si>
    <t>pppmyslowice@wp.pl</t>
  </si>
  <si>
    <t>PORADNIA PSYCHOLOGICZNO-PEDAGOGICZNA W NIEMODLINIE</t>
  </si>
  <si>
    <t>Niemodlin</t>
  </si>
  <si>
    <t>sekretariat@pppniemodlin.pl</t>
  </si>
  <si>
    <t>PORADNIA PSYCHOLOGICZNO-PEDAGOGICZNA W NOWYM DWORZE MAZOWIECKIM FILIA W NASIELSKU</t>
  </si>
  <si>
    <t>Nasielsk</t>
  </si>
  <si>
    <t>PORADNIA PSYCHOLOGICZNO-PEDAGOGICZNA W NOWYM SĄCZU</t>
  </si>
  <si>
    <t>ul. Władysława Broniewskiego</t>
  </si>
  <si>
    <t>poradnia.pp@edu.nowysacz.pl</t>
  </si>
  <si>
    <t>PORADNIA PSYCHOLOGICZNO-PEDAGOGICZNA W NYSIE</t>
  </si>
  <si>
    <t>ul. Słowiańska</t>
  </si>
  <si>
    <t>pppnysa@tlen.pl</t>
  </si>
  <si>
    <t>PORADNIA PSYCHOLOGICZNO-PEDAGOGICZNA W OBORNIKACH</t>
  </si>
  <si>
    <t>obornicki</t>
  </si>
  <si>
    <t>Oborniki</t>
  </si>
  <si>
    <t>poradnia.oborniki@wp.pl</t>
  </si>
  <si>
    <t>PORADNIA PSYCHOLOGICZNO-PEDAGOGICZNA W OŁAWIE</t>
  </si>
  <si>
    <t>pl. Zamkowy</t>
  </si>
  <si>
    <t>sekretariat-poradnia@poradnia.olawa.pl</t>
  </si>
  <si>
    <t>PORADNIA PSYCHOLOGICZNO-PEDAGOGICZNA W OLECKU</t>
  </si>
  <si>
    <t>ppp@powiat.olecko.pl</t>
  </si>
  <si>
    <t>PORADNIA PSYCHOLOGICZNO-PEDAGOGICZNA W OLEŚNICY</t>
  </si>
  <si>
    <t>sekretariat.olesnica@zppp-olesnica.pl</t>
  </si>
  <si>
    <t>ul. Legionów Polskich</t>
  </si>
  <si>
    <t>sekretariat@pppolkusz.pl</t>
  </si>
  <si>
    <t>PORADNIA PSYCHOLOGICZNO-PEDAGOGICZNA W OPATOWIE</t>
  </si>
  <si>
    <t>opatowski</t>
  </si>
  <si>
    <t>Opatów</t>
  </si>
  <si>
    <t>ul. Stefanii Sempołowskiej</t>
  </si>
  <si>
    <t>sekretariat@pppopatow.pl</t>
  </si>
  <si>
    <t>PORADNIA PSYCHOLOGICZNO-PEDAGOGICZNA W OPOCZNIE</t>
  </si>
  <si>
    <t>sekretariat@pppopoczno.pl</t>
  </si>
  <si>
    <t>PORADNIA PSYCHOLOGICZNO-PEDAGOGICZNA W OPOCZNIE FILIA W DRZEWICY</t>
  </si>
  <si>
    <t>Drzewica</t>
  </si>
  <si>
    <t>ul. Stanisława Staszica</t>
  </si>
  <si>
    <t>pppdrzewica@gmail.com</t>
  </si>
  <si>
    <t>PORADNIA PSYCHOLOGICZNO-PEDAGOGICZNA W OPOLU</t>
  </si>
  <si>
    <t>ul. Książąt Opolskich</t>
  </si>
  <si>
    <t>sekretariat@pppopole.pl</t>
  </si>
  <si>
    <t>PORADNIA PSYCHOLOGICZNO-PEDAGOGICZNA W OPOLU LUBELSKIM</t>
  </si>
  <si>
    <t>Opole Lubelskie</t>
  </si>
  <si>
    <t>ppp.opole.lub@interia.pl</t>
  </si>
  <si>
    <t>PORADNIA PSYCHOLOGICZNO-PEDAGOGICZNA W OSTRÓDZIE</t>
  </si>
  <si>
    <t>sekretariat@poradnia.ostroda.pl</t>
  </si>
  <si>
    <t>PORADNIA PSYCHOLOGICZNO-PEDAGOGICZNA W OSTROWCU ŚWIĘTOKRZYSKIM</t>
  </si>
  <si>
    <t>dyrektor@pp-p.ostrowiec.pl</t>
  </si>
  <si>
    <t>PORADNIA PSYCHOLOGICZNO-PEDAGOGICZNA W OSTROWI MAZOWIECKIEJ</t>
  </si>
  <si>
    <t>Ostrów Mazowiecka</t>
  </si>
  <si>
    <t>ul. Romana Rubinkowskiego</t>
  </si>
  <si>
    <t>sekretariat@pppom.szkolnastrona.pl</t>
  </si>
  <si>
    <t>PORADNIA PSYCHOLOGICZNO-PEDAGOGICZNA W OŚWIĘCIMIU</t>
  </si>
  <si>
    <t>ul. gen. Józefa Bema</t>
  </si>
  <si>
    <t>info@poradnia-oswiecim.pl</t>
  </si>
  <si>
    <t>PORADNIA PSYCHOLOGICZNO-PEDAGOGICZNA W OŻAROWIE</t>
  </si>
  <si>
    <t>Ożarów</t>
  </si>
  <si>
    <t>os. Wzgórze</t>
  </si>
  <si>
    <t>sekretariat.ozarow@pppopatow.pl</t>
  </si>
  <si>
    <t>PORADNIA PSYCHOLOGICZNO-PEDAGOGICZNA W OZIMKU</t>
  </si>
  <si>
    <t>Ozimek</t>
  </si>
  <si>
    <t>ul. Częstochowska</t>
  </si>
  <si>
    <t>sekretariat@pppozimek.pl</t>
  </si>
  <si>
    <t>PORADNIA PSYCHOLOGICZNO-PEDAGOGICZNA W PABIANICACH</t>
  </si>
  <si>
    <t>ul. Bracka</t>
  </si>
  <si>
    <t>sekretariat@ppppabianice.eu</t>
  </si>
  <si>
    <t>PORADNIA PSYCHOLOGICZNO-PEDAGOGICZNA W PASŁĘKU</t>
  </si>
  <si>
    <t>elbląski</t>
  </si>
  <si>
    <t>Pasłęk</t>
  </si>
  <si>
    <t>poradnia@ppp-paslek.pl</t>
  </si>
  <si>
    <t>PORADNIA PSYCHOLOGICZNO-PEDAGOGICZNA W PIEKARACH ŚLĄSKICH</t>
  </si>
  <si>
    <t>ppp@piekary.pl</t>
  </si>
  <si>
    <t>PORADNIA PSYCHOLOGICZNO-PEDAGOGICZNA W PIŃCZOWIE</t>
  </si>
  <si>
    <t>pińczowski</t>
  </si>
  <si>
    <t>Pińczów</t>
  </si>
  <si>
    <t>ppp_pinczow@wp.pl</t>
  </si>
  <si>
    <t>PORADNIA PSYCHOLOGICZNO-PEDAGOGICZNA W PIONKACH</t>
  </si>
  <si>
    <t>Pionki</t>
  </si>
  <si>
    <t>poradniapionki@interia.pl</t>
  </si>
  <si>
    <t>PORADNIA PSYCHOLOGICZNO-PEDAGOGICZNA W PIOTRKOWIE TRYBUNALSKIM</t>
  </si>
  <si>
    <t>poradnia@poradnia.piotrkow.pl</t>
  </si>
  <si>
    <t>PORADNIA PSYCHOLOGICZNO-PEDAGOGICZNA W PŁAWANICACH</t>
  </si>
  <si>
    <t>chełmski</t>
  </si>
  <si>
    <t>Kamień</t>
  </si>
  <si>
    <t>Pławanice</t>
  </si>
  <si>
    <t>poradnia@ppp-plawanice.pl</t>
  </si>
  <si>
    <t>PORADNIA PSYCHOLOGICZNO-PEDAGOGICZNA W PŁOŃSKU</t>
  </si>
  <si>
    <t>Płońsk</t>
  </si>
  <si>
    <t>sekretariat@poradniaplonsk.pl</t>
  </si>
  <si>
    <t>PORADNIA PSYCHOLOGICZNO-PEDAGOGICZNA W PRUDNIKU</t>
  </si>
  <si>
    <t>prudnicki</t>
  </si>
  <si>
    <t>Prudnik</t>
  </si>
  <si>
    <t>sekretariat@poradniaprudnik.pl</t>
  </si>
  <si>
    <t>PORADNIA PSYCHOLOGICZNO-PEDAGOGICZNA W PRUSZCZU GDAŃSKIM</t>
  </si>
  <si>
    <t>sekretariat@poradniapruszcz.pl</t>
  </si>
  <si>
    <t>PORADNIA PSYCHOLOGICZNO-PEDAGOGICZNA W PRZYSUSZE</t>
  </si>
  <si>
    <t>przysuski</t>
  </si>
  <si>
    <t>Przysucha</t>
  </si>
  <si>
    <t>ppp@przysucha.pl</t>
  </si>
  <si>
    <t>PORADNIA PSYCHOLOGICZNO-PEDAGOGICZNA W PUŁAWACH IM. PROF.KAZIMIERZA DĄBROWSKIEGO</t>
  </si>
  <si>
    <t>al. Królewska</t>
  </si>
  <si>
    <t>kancelaria@poradnia.pulawy.pl</t>
  </si>
  <si>
    <t>PORADNIA PSYCHOLOGICZNO-PEDAGOGICZNA W PUŁTUSKU</t>
  </si>
  <si>
    <t>sekretariat@ppppultusk.pl</t>
  </si>
  <si>
    <t>ul. Jana Żupańskiego</t>
  </si>
  <si>
    <t>sekretariat@pppuszczykowo.pl</t>
  </si>
  <si>
    <t>PORADNIA PSYCHOLOGICZNO-PEDAGOGICZNA W PYSKOWICACH</t>
  </si>
  <si>
    <t>Pyskowice</t>
  </si>
  <si>
    <t>ppppyskowice@poczta.onet.pl</t>
  </si>
  <si>
    <t>PORADNIA PSYCHOLOGICZNO-PEDAGOGICZNA W RADOMIU</t>
  </si>
  <si>
    <t>p.psycho-pedagog1@wp.pl</t>
  </si>
  <si>
    <t>PORADNIA PSYCHOLOGICZNO-PEDAGOGICZNA W RADOMSKU</t>
  </si>
  <si>
    <t>radomszczański</t>
  </si>
  <si>
    <t>Radomsko</t>
  </si>
  <si>
    <t>sekretariat@ppp.radomszczanski.pl</t>
  </si>
  <si>
    <t>PORADNIA PSYCHOLOGICZNO-PEDAGOGICZNA W RADZYNIU PODLASKIM</t>
  </si>
  <si>
    <t>radzyński</t>
  </si>
  <si>
    <t>Radzyń Podlaski</t>
  </si>
  <si>
    <t>sekretariat.ppp.radzyn@pra.pl</t>
  </si>
  <si>
    <t>PORADNIA PSYCHOLOGICZNO-PEDAGOGICZNA W RAWICZU</t>
  </si>
  <si>
    <t>rawicki</t>
  </si>
  <si>
    <t>Rawicz</t>
  </si>
  <si>
    <t>ul. gen. Grota Roweckiego</t>
  </si>
  <si>
    <t>ppp@powiatrawicki.pl</t>
  </si>
  <si>
    <t>PORADNIA PSYCHOLOGICZNO-PEDAGOGICZNA W RAWIE MAZOWIECKIEJ</t>
  </si>
  <si>
    <t>rawski</t>
  </si>
  <si>
    <t>Rawa Mazowiecka</t>
  </si>
  <si>
    <t>rawa_poradnia@op.pl</t>
  </si>
  <si>
    <t>PORADNIA PSYCHOLOGICZNO-PEDAGOGICZNA W REJOWCU FABRYCZNYM</t>
  </si>
  <si>
    <t>Rejowiec Fabryczny</t>
  </si>
  <si>
    <t>poradnia@ppp-rejowiec.pl</t>
  </si>
  <si>
    <t>PORADNIA PSYCHOLOGICZNO-PEDAGOGICZNA W ROGOŹNIE</t>
  </si>
  <si>
    <t>Rogoźno</t>
  </si>
  <si>
    <t>ppprogozno@poczta.onet.pl</t>
  </si>
  <si>
    <t>PORADNIA PSYCHOLOGICZNO-PEDAGOGICZNA W ROPCZYCACH</t>
  </si>
  <si>
    <t>sekretariat@pppropczyce.com.pl</t>
  </si>
  <si>
    <t>PORADNIA PSYCHOLOGICZNO-PEDAGOGICZNA W ROTMANCE</t>
  </si>
  <si>
    <t>Rotmanka</t>
  </si>
  <si>
    <t>ul. Borówkowa</t>
  </si>
  <si>
    <t>biuro@poradniarotmanka.pl</t>
  </si>
  <si>
    <t>PORADNIA PSYCHOLOGICZNO-PEDAGOGICZNA W RUDZIE ŚLĄSKIEJ</t>
  </si>
  <si>
    <t>sekretariat@ppprudaslaska.pl</t>
  </si>
  <si>
    <t>PORADNIA PSYCHOLOGICZNO-PEDAGOGICZNA W RUMI</t>
  </si>
  <si>
    <t>ul. Pomorska</t>
  </si>
  <si>
    <t>poradniajanowo@wp.pl</t>
  </si>
  <si>
    <t>PORADNIA PSYCHOLOGICZNO-PEDAGOGICZNA W RYBNIKU</t>
  </si>
  <si>
    <t>sekretariat@ppprybnik.pl</t>
  </si>
  <si>
    <t>PORADNIA PSYCHOLOGICZNO-PEDAGOGICZNA W RYPINIE</t>
  </si>
  <si>
    <t>ul. Mławska</t>
  </si>
  <si>
    <t>sekretariat@ppprypin.pl</t>
  </si>
  <si>
    <t>PORADNIA PSYCHOLOGICZNO-PEDAGOGICZNA W SANDOMIERZU</t>
  </si>
  <si>
    <t>ppp1sandomierz@op.pl</t>
  </si>
  <si>
    <t>PORADNIA PSYCHOLOGICZNO-PEDAGOGICZNA W SIEDLCACH</t>
  </si>
  <si>
    <t>ul. Krystyny Osińskiej</t>
  </si>
  <si>
    <t>sekretariat@poradnia.siedlce.pl</t>
  </si>
  <si>
    <t>PORADNIA PSYCHOLOGICZNO-PEDAGOGICZNA W SIEMIANOWICACH ŚLĄSKICH</t>
  </si>
  <si>
    <t>ul. Olimpijska</t>
  </si>
  <si>
    <t>ppp.poczta@siemianowice.pl</t>
  </si>
  <si>
    <t>PORADNIA PSYCHOLOGICZNO-PEDAGOGICZNA W SIERADZU</t>
  </si>
  <si>
    <t>pl. Plac Wojewódzki</t>
  </si>
  <si>
    <t>porped@poczta.onet.pl</t>
  </si>
  <si>
    <t>PORADNIA PSYCHOLOGICZNO-PEDAGOGICZNA W SIERPCU</t>
  </si>
  <si>
    <t>sierpecki</t>
  </si>
  <si>
    <t>Sierpc</t>
  </si>
  <si>
    <t>poradniasierpc@wp.pl</t>
  </si>
  <si>
    <t>PORADNIA PSYCHOLOGICZNO-PEDAGOGICZNA W SKARŻYSKU-KAMIENNEJ</t>
  </si>
  <si>
    <t>pl. Floriański</t>
  </si>
  <si>
    <t>ppp@pcreskarzysko.pl</t>
  </si>
  <si>
    <t>PORADNIA PSYCHOLOGICZNO-PEDAGOGICZNA W SKIERNIEWICACH</t>
  </si>
  <si>
    <t>ul. dr. Stanisława Rybickiego</t>
  </si>
  <si>
    <t>sekretariat@poradnia-skierniewice.pl</t>
  </si>
  <si>
    <t>PORADNIA PSYCHOLOGICZNO-PEDAGOGICZNA W SŁUBICACH</t>
  </si>
  <si>
    <t>słubicki</t>
  </si>
  <si>
    <t>Słubice</t>
  </si>
  <si>
    <t>ppp@powiatslubicki.pl</t>
  </si>
  <si>
    <t>PORADNIA PSYCHOLOGICZNO-PEDAGOGICZNA W SŁUPCY</t>
  </si>
  <si>
    <t>słupecki</t>
  </si>
  <si>
    <t>Słupca</t>
  </si>
  <si>
    <t>sekretariat@poradniapp-slupca.pl</t>
  </si>
  <si>
    <t>PORADNIA PSYCHOLOGICZNO-PEDAGOGICZNA W SOCHACZEWIE</t>
  </si>
  <si>
    <t>ppp.sochaczew@wp.pl</t>
  </si>
  <si>
    <t>PORADNIA PSYCHOLOGICZNO-PEDAGOGICZNA W SOPOCIE</t>
  </si>
  <si>
    <t>ul. Władysława IV</t>
  </si>
  <si>
    <t>ppp@poradniasopot.pl</t>
  </si>
  <si>
    <t>PORADNIA PSYCHOLOGICZNO-PEDAGOGICZNA W ŚREMIE</t>
  </si>
  <si>
    <t>ul. Floriana Marciniaka</t>
  </si>
  <si>
    <t>ppp@poradniasrem.cop.pl</t>
  </si>
  <si>
    <t>PORADNIA PSYCHOLOGICZNO-PEDAGOGICZNA W ŚRODZIE WIELKOPOLSKIEJ</t>
  </si>
  <si>
    <t>pppsroda@wp.pl</t>
  </si>
  <si>
    <t>PORADNIA PSYCHOLOGICZNO-PEDAGOGICZNA W STALOWEJ WOLI</t>
  </si>
  <si>
    <t>stalowowolski</t>
  </si>
  <si>
    <t>Stalowa Wola</t>
  </si>
  <si>
    <t>ul. Hutnicza</t>
  </si>
  <si>
    <t>poradniapp@stalowowolski.pl</t>
  </si>
  <si>
    <t>PORADNIA PSYCHOLOGICZNO-PEDAGOGICZNA W STARACHOWICACH</t>
  </si>
  <si>
    <t>poradnia_st@wp.pl</t>
  </si>
  <si>
    <t>PORADNIA PSYCHOLOGICZNO-PEDAGOGICZNA W STAROGARDZIE GDAŃSKIM</t>
  </si>
  <si>
    <t>publiczna@pppstarogard.pl</t>
  </si>
  <si>
    <t>PORADNIA PSYCHOLOGICZNO-PEDAGOGICZNA W STRZEGOMIU</t>
  </si>
  <si>
    <t>sekretariat@poradnia.swidnica.pl</t>
  </si>
  <si>
    <t>PORADNIA PSYCHOLOGICZNO-PEDAGOGICZNA W STRZELINIE</t>
  </si>
  <si>
    <t>strzeliński</t>
  </si>
  <si>
    <t>Strzelin</t>
  </si>
  <si>
    <t>ppp_strzelin@wp.pl</t>
  </si>
  <si>
    <t>sekretariat.swarzedz@pppswarzedz.pl</t>
  </si>
  <si>
    <t>PORADNIA PSYCHOLOGICZNO-PEDAGOGICZNA W ŚWIDNICY</t>
  </si>
  <si>
    <t>ul. Pionierów Ziemi Świdnickiej</t>
  </si>
  <si>
    <t>PORADNIA PSYCHOLOGICZNO-PEDAGOGICZNA W ŚWIDWINIE</t>
  </si>
  <si>
    <t>sekretariat@pppswidwin.pl</t>
  </si>
  <si>
    <t>PORADNIA PSYCHOLOGICZNO-PEDAGOGICZNA W ŚWIEBODZICACH</t>
  </si>
  <si>
    <t>PORADNIA PSYCHOLOGICZNO-PEDAGOGICZNA W ŚWIĘTOCHŁOWICACH</t>
  </si>
  <si>
    <t>Świętochłowice</t>
  </si>
  <si>
    <t>ul. Sądowa</t>
  </si>
  <si>
    <t>sekretariat@ppp.swietochlowice.pl</t>
  </si>
  <si>
    <t>PORADNIA PSYCHOLOGICZNO-PEDAGOGICZNA W SYCOWIE</t>
  </si>
  <si>
    <t>Syców</t>
  </si>
  <si>
    <t>sekretariat.sycow@zppp-olesnica.pl</t>
  </si>
  <si>
    <t>PORADNIA PSYCHOLOGICZNO-PEDAGOGICZNA W SZAMOTUŁACH</t>
  </si>
  <si>
    <t>sekretariat.szamotuly@poradnia-szamotuly.pl</t>
  </si>
  <si>
    <t>PORADNIA PSYCHOLOGICZNO-PEDAGOGICZNA W SZCZECINKU</t>
  </si>
  <si>
    <t>ul. Wiatraczna</t>
  </si>
  <si>
    <t>sekretariat@poradnia.szczecinek.pl</t>
  </si>
  <si>
    <t>PORADNIA PSYCHOLOGICZNO-PEDAGOGICZNA W TARNOBRZEGU</t>
  </si>
  <si>
    <t>poradniatbg@poczta.onet.pl</t>
  </si>
  <si>
    <t>PORADNIA PSYCHOLOGICZNO-PEDAGOGICZNA W TCZEWIE</t>
  </si>
  <si>
    <t>ppp.tczew@ppp.tczew.pl</t>
  </si>
  <si>
    <t>PORADNIA PSYCHOLOGICZNO-PEDAGOGICZNA W TŁUSZCZU</t>
  </si>
  <si>
    <t>ppptluszcz@op.pl</t>
  </si>
  <si>
    <t>PORADNIA PSYCHOLOGICZNO-PEDAGOGICZNA W TOMASZOWIE LUBELSKIM</t>
  </si>
  <si>
    <t>Tomaszów Lubelski</t>
  </si>
  <si>
    <t>ul. Siwa Dolina</t>
  </si>
  <si>
    <t>poradnia@ppp-tomaszow.pl</t>
  </si>
  <si>
    <t>PORADNIA PSYCHOLOGICZNO-PEDAGOGICZNA W TRZCIANCE</t>
  </si>
  <si>
    <t>Trzcianka</t>
  </si>
  <si>
    <t>poradnia@trzcianka.com.pl</t>
  </si>
  <si>
    <t>PORADNIA PSYCHOLOGICZNO-PEDAGOGICZNA W TURKU</t>
  </si>
  <si>
    <t>sekretariat@ppp.turek.pl</t>
  </si>
  <si>
    <t>PORADNIA PSYCHOLOGICZNO-PEDAGOGICZNA W USTRZYKACH DOLNYCH</t>
  </si>
  <si>
    <t>bieszczadzki</t>
  </si>
  <si>
    <t>Ustrzyki Dolne</t>
  </si>
  <si>
    <t>ul. Pionierska</t>
  </si>
  <si>
    <t>sekretariat@pppustrzyki.edu.pl</t>
  </si>
  <si>
    <t>PORADNIA PSYCHOLOGICZNO-PEDAGOGICZNA W WADOWICACH</t>
  </si>
  <si>
    <t>ul. Emilii i Karola Wojtyłów</t>
  </si>
  <si>
    <t>pppwadowice@op.pl</t>
  </si>
  <si>
    <t>PORADNIA PSYCHOLOGICZNO-PEDAGOGICZNA W WARCE</t>
  </si>
  <si>
    <t>Warka</t>
  </si>
  <si>
    <t>ul. Grójecka</t>
  </si>
  <si>
    <t>sekretariat.pppwarka@grojec.pl</t>
  </si>
  <si>
    <t>PORADNIA PSYCHOLOGICZNO-PEDAGOGICZNA W WARCIE</t>
  </si>
  <si>
    <t>Warta</t>
  </si>
  <si>
    <t>sekretariat@pppwarta.pl</t>
  </si>
  <si>
    <t>PORADNIA PSYCHOLOGICZNO-PEDAGOGICZNA W WĘGROWIE</t>
  </si>
  <si>
    <t>ppp_wegrow@wp.pl</t>
  </si>
  <si>
    <t>PORADNIA PSYCHOLOGICZNO-PEDAGOGICZNA W WEJHEROWIE</t>
  </si>
  <si>
    <t>ul. Ofiar Piaśnicy</t>
  </si>
  <si>
    <t>pppwejherowo@poradnia-wejherowo.pl</t>
  </si>
  <si>
    <t>PORADNIA PSYCHOLOGICZNO-PEDAGOGICZNA W WIERUSZOWIE</t>
  </si>
  <si>
    <t>pppwieruszow@vp.pl</t>
  </si>
  <si>
    <t>PORADNIA PSYCHOLOGICZNO-PEDAGOGICZNA W WIERZBICY</t>
  </si>
  <si>
    <t>Wierzbica</t>
  </si>
  <si>
    <t>Wierzbica-Osiedle</t>
  </si>
  <si>
    <t>ppp.wierzbica@gmail.com</t>
  </si>
  <si>
    <t>PORADNIA PSYCHOLOGICZNO-PEDAGOGICZNA W WODZISŁAWIU ŚLĄSKIM</t>
  </si>
  <si>
    <t>ul. dr. Lucjana Mendego</t>
  </si>
  <si>
    <t>sekretariat@poradnia.wodzislaw.pl</t>
  </si>
  <si>
    <t>PORADNIA PSYCHOLOGICZNO-PEDAGOGICZNA W WOŁOMINIE</t>
  </si>
  <si>
    <t>pppwolomin@wp.pl</t>
  </si>
  <si>
    <t>PORADNIA PSYCHOLOGICZNO-PEDAGOGICZNA W WOŁOWIE</t>
  </si>
  <si>
    <t>pppwolow@wolowpce.pl</t>
  </si>
  <si>
    <t>PORADNIA PSYCHOLOGICZNO-PEDAGOGICZNA W WYSOKIEM MAZOWIECKIEM</t>
  </si>
  <si>
    <t>wysokomazowiecki</t>
  </si>
  <si>
    <t>Wysokie Mazowieckie</t>
  </si>
  <si>
    <t>wmppp@op.pl</t>
  </si>
  <si>
    <t>PORADNIA PSYCHOLOGICZNO-PEDAGOGICZNA W WYSZKOWIE</t>
  </si>
  <si>
    <t>wyszkowski</t>
  </si>
  <si>
    <t>Wyszków</t>
  </si>
  <si>
    <t>sekretariat@pppwyszkow.pl</t>
  </si>
  <si>
    <t>PORADNIA PSYCHOLOGICZNO-PEDAGOGICZNA W ZABIERZOWIE</t>
  </si>
  <si>
    <t>Zabierzów</t>
  </si>
  <si>
    <t>ul. Cmentarna</t>
  </si>
  <si>
    <t>sekretariat@poradnia.zabierzow.org.pl</t>
  </si>
  <si>
    <t>PORADNIA PSYCHOLOGICZNO-PEDAGOGICZNA W ZĄBKOWICACH ŚLĄSKICH</t>
  </si>
  <si>
    <t>poradnia@centrumporadnictwa.com</t>
  </si>
  <si>
    <t>PORADNIA PSYCHOLOGICZNO-PEDAGOGICZNA W ZABRZU</t>
  </si>
  <si>
    <t>sekretariat@pppzabrze.pl</t>
  </si>
  <si>
    <t>PORADNIA PSYCHOLOGICZNO-PEDAGOGICZNA W ZAKOPANEM</t>
  </si>
  <si>
    <t>Zakopane</t>
  </si>
  <si>
    <t>ul. Heleny Modrzejewskiej</t>
  </si>
  <si>
    <t>sekretariat@ppp.tatry.pl</t>
  </si>
  <si>
    <t>PORADNIA PSYCHOLOGICZNO-PEDAGOGICZNA W ZAMOŚCIU</t>
  </si>
  <si>
    <t>nakielski</t>
  </si>
  <si>
    <t>Szubin</t>
  </si>
  <si>
    <t>poczta@poradniazamosc.pl</t>
  </si>
  <si>
    <t>PORADNIA PSYCHOLOGICZNO-PEDAGOGICZNA W ZDUŃSKIEJ WOLI</t>
  </si>
  <si>
    <t>poradnia_zdwola@wp.pl</t>
  </si>
  <si>
    <t>PORADNIA PSYCHOLOGICZNO-PEDAGOGICZNA W ZGORZELCU</t>
  </si>
  <si>
    <t>sekretariat@poradnia.zgorzelec.pl</t>
  </si>
  <si>
    <t>PORADNIA PSYCHOLOGICZNO-PEDAGOGICZNA W ZIELONCE</t>
  </si>
  <si>
    <t>ul. Inżynierska</t>
  </si>
  <si>
    <t>sekretariat@pppzielonka.pl</t>
  </si>
  <si>
    <t>PORADNIA PSYCHOLOGICZNO-PEDAGOGICZNA W ZIELONEJ GÓRZE</t>
  </si>
  <si>
    <t>ul. Drzewna</t>
  </si>
  <si>
    <t>sekretariat@ppp.zgora.pl</t>
  </si>
  <si>
    <t>PORADNIA PSYCHOLOGICZNO-PEDAGOGICZNA W ŻNINIE</t>
  </si>
  <si>
    <t>żniński</t>
  </si>
  <si>
    <t>Żnin</t>
  </si>
  <si>
    <t>ul. Browarowa</t>
  </si>
  <si>
    <t>poradnia@znin.pl</t>
  </si>
  <si>
    <t>PORADNIA PSYCHOLOGICZNO-PEDAGOGICZNA W ŻYWCU</t>
  </si>
  <si>
    <t>pppzywiec@interia.pl</t>
  </si>
  <si>
    <t>PORADNIA PSYCHOLOGICZNO-PEDAGOGICZNA WE WŁODAWIE</t>
  </si>
  <si>
    <t>włodawski</t>
  </si>
  <si>
    <t>Włodawa</t>
  </si>
  <si>
    <t>sekretariat@pppwlodawa.pl</t>
  </si>
  <si>
    <t>PORADNIA PSYCHOLOGICZNO-PEDAGOGICZNA WE WŁOSZCZOWIE</t>
  </si>
  <si>
    <t>włoszczowski</t>
  </si>
  <si>
    <t>Włoszczowa</t>
  </si>
  <si>
    <t>sekretariat@pppwloszczowa.pl</t>
  </si>
  <si>
    <t>PORADNIA PSYCHOLOGICZNO-PEDAGOGICZNA WE WRONKACH</t>
  </si>
  <si>
    <t>Wronki</t>
  </si>
  <si>
    <t>sekretariat.wronki@poradnia-szamotuly.pl</t>
  </si>
  <si>
    <t>PORADNIA PSYCHOLOGICZNO-PEDAGOGICZNA WE WRZEŚNI</t>
  </si>
  <si>
    <t>wrzesiński</t>
  </si>
  <si>
    <t>Września</t>
  </si>
  <si>
    <t>sekretariat@ppp-wrzesnia.pl</t>
  </si>
  <si>
    <t>PORADNIA PSYCHOLOGICZNO-PEDAGOGICZNA WE WSCHOWIE</t>
  </si>
  <si>
    <t>wschowski</t>
  </si>
  <si>
    <t>Wschowa</t>
  </si>
  <si>
    <t>ul. Zacisze</t>
  </si>
  <si>
    <t>pppwschowa.pomoc@gmail.com</t>
  </si>
  <si>
    <t>PORADNIA PSYCHOLOGICZNO-PEDAGOGICZNA WE WSCHOWIE FILIA W SŁAWIE</t>
  </si>
  <si>
    <t>Sława</t>
  </si>
  <si>
    <t>PORADNIA PSYCHOLOGICZNO-PEDAGOGICZNA WIOSNA W LUBINIE</t>
  </si>
  <si>
    <t>PORADNIA PSYCHOLOGICZNO-PEDAGOGICZNO-REHABILITACYJNA W WESOŁEJ</t>
  </si>
  <si>
    <t>ul. Kruszyny</t>
  </si>
  <si>
    <t>michal@mag1.pl</t>
  </si>
  <si>
    <t>PORADNIA PSYCHOLOGICZO-PEDAGOGICZNA W DOBRCZU</t>
  </si>
  <si>
    <t>Dobrcz</t>
  </si>
  <si>
    <t>poradniadobrcz@wp.pl</t>
  </si>
  <si>
    <t>PORADNIA SPECJALISTYCZNA MŁODZIEŻOWY OŚRODEK PROFILAKTYKI I PSYCHOTERAPII "MOP"</t>
  </si>
  <si>
    <t>ul. Boryszewska</t>
  </si>
  <si>
    <t>poradniamop@eduwarszawa.pl</t>
  </si>
  <si>
    <t>PORADNIA SPECJALISTYCZNA SPINACZ W LUBLINIE</t>
  </si>
  <si>
    <t>ul. Andrzeja Struga</t>
  </si>
  <si>
    <t>przedszkole@stonoga.lublin.pl</t>
  </si>
  <si>
    <t>PORADNIA SPECJALISTYCZNA WAD MOWY I SŁUCHU W PILE</t>
  </si>
  <si>
    <t>zppp@op.pl</t>
  </si>
  <si>
    <t>POWIATOWA PORADNIA PSYCHOLOGICZNO - PEDAGOGICZNA</t>
  </si>
  <si>
    <t>siedlecki</t>
  </si>
  <si>
    <t>Stok Lacki-Folwark</t>
  </si>
  <si>
    <t>poradnia@powiatsiedlecki.pl</t>
  </si>
  <si>
    <t>pppptgdyr@onet.pl</t>
  </si>
  <si>
    <t>kłobucki</t>
  </si>
  <si>
    <t>Kłobuck</t>
  </si>
  <si>
    <t>ul. ks. Ignacego Skorupki</t>
  </si>
  <si>
    <t>pppp@klobuck.pl</t>
  </si>
  <si>
    <t>POWIATOWA PORADNIA PSYCHOLOGICZNO - PEDAGOGICZNA W CZĘSTOCHOWIE</t>
  </si>
  <si>
    <t>poradniap@czestochowa.powiat.pl</t>
  </si>
  <si>
    <t>POWIATOWA PORADNIA PSYCHOLOGICZNO - PEDAGOGICZNA W LIDZBARKU WARMIŃSKIM</t>
  </si>
  <si>
    <t>sekretariat@poradnia-psychologiczna.warmia.info</t>
  </si>
  <si>
    <t>POWIATOWA PORADNIA PSYCHOLOGICZNO - PEDAGOGICZNA W NAKLE NAD NOTECIĄ</t>
  </si>
  <si>
    <t>Nakło nad Notecią</t>
  </si>
  <si>
    <t>kontakt@ppppnaklo.pl</t>
  </si>
  <si>
    <t>POWIATOWA PORADNIA PSYCHOLOGICZNO - PEDAGOGICZNA W PAJĘCZNIE FILIA W DZIAŁOSZYNIE</t>
  </si>
  <si>
    <t>pajęczański</t>
  </si>
  <si>
    <t>Działoszyn</t>
  </si>
  <si>
    <t>ul. Grota-Roweckiego</t>
  </si>
  <si>
    <t>poradniapsychped@poczta.onet.pl</t>
  </si>
  <si>
    <t>Pajęczno</t>
  </si>
  <si>
    <t>POWIATOWA PORADNIA PSYCHOLOGICZNO-PEDAGOGICZNA W PAJĘCZNIE</t>
  </si>
  <si>
    <t>POWIATOWA PORADNIA PSYCHOLOGICZNO - PEDAGOGICZNA W PŁOCKU</t>
  </si>
  <si>
    <t>poradnia@pppp-plock.pl</t>
  </si>
  <si>
    <t>POWIATOWA PORADNIA PSYCHOLOGICZNO - PEDAGOGICZNA W WIELICZCE</t>
  </si>
  <si>
    <t>ul. Niepołomska</t>
  </si>
  <si>
    <t>sekretariat@poradnia-wieliczka.pl</t>
  </si>
  <si>
    <t>POWIATOWA PORADNIA PSYCHOLOGICZNO - PEDAGOGICZNA W ZŁOTOWIE</t>
  </si>
  <si>
    <t>sekretariat@pppp-zlotow.pl</t>
  </si>
  <si>
    <t>POWIATOWA PORADNIA PSYCHOLOGICZNO PEDAGOGICZNA W CHOJNOWIE</t>
  </si>
  <si>
    <t>ul. Anny i Juliusza Poźniaków</t>
  </si>
  <si>
    <t>sekretariat@pppp-chojnow.pl</t>
  </si>
  <si>
    <t>POWIATOWA PORADNIA PSYCHOLOGICZNO- PEDAGOGICZNA W PISZU</t>
  </si>
  <si>
    <t>piski</t>
  </si>
  <si>
    <t>Pisz</t>
  </si>
  <si>
    <t>4p.pisz@gmail.com</t>
  </si>
  <si>
    <t>POWIATOWA PORADNIA PSYCHOLOGICZNO-PEDAGOGICZNA</t>
  </si>
  <si>
    <t>Walim</t>
  </si>
  <si>
    <t>ul. Nowa Kolonia</t>
  </si>
  <si>
    <t>sekretariat@pppp.walbrzych.pl</t>
  </si>
  <si>
    <t>wolsztyński</t>
  </si>
  <si>
    <t>Wolsztyn</t>
  </si>
  <si>
    <t>ul. 5 Stycznia</t>
  </si>
  <si>
    <t>ppppwolsztyn@wp.pl</t>
  </si>
  <si>
    <t>Sławno</t>
  </si>
  <si>
    <t>sekretariat@poradnia-slawno.pl</t>
  </si>
  <si>
    <t>POWIATOWA PORADNIA PSYCHOLOGICZNO-PEDAGOGICZNA NR 1</t>
  </si>
  <si>
    <t>kancelaria@pzp.edu.pl</t>
  </si>
  <si>
    <t>POWIATOWA PORADNIA PSYCHOLOGICZNO-PEDAGOGICZNA NR 2</t>
  </si>
  <si>
    <t>POWIATOWA PORADNIA PSYCHOLOGICZNO-PEDAGOGICZNA W BĘDZINIE</t>
  </si>
  <si>
    <t>kontakt@pppbedzin.pl</t>
  </si>
  <si>
    <t>POWIATOWA PORADNIA PSYCHOLOGICZNO-PEDAGOGICZNA W BIAŁEJ PODLASKIEJ</t>
  </si>
  <si>
    <t>poradniapedagog@interia.pl</t>
  </si>
  <si>
    <t>POWIATOWA PORADNIA PSYCHOLOGICZNO-PEDAGOGICZNA W BIAŁEJ PODLASKIEJFILIA W MIĘDZYRZECU PODLASKIM</t>
  </si>
  <si>
    <t>Międzyrzec Podlaski</t>
  </si>
  <si>
    <t>ul. Czysta</t>
  </si>
  <si>
    <t>ppp_miedzyrzec.podl@wp.pl</t>
  </si>
  <si>
    <t>POWIATOWA PORADNIA PSYCHOLOGICZNO-PEDAGOGICZNA W BIAŁEJ PODLASKIEJFILIA W TERESPOLU</t>
  </si>
  <si>
    <t>Terespol</t>
  </si>
  <si>
    <t>pppterespoln.b@interia.pl</t>
  </si>
  <si>
    <t>POWIATOWA PORADNIA PSYCHOLOGICZNO-PEDAGOGICZNA W BIAŁEJ PODLASKIEJFILIA W WISZNICACH</t>
  </si>
  <si>
    <t>poradniapp@poczta.fm</t>
  </si>
  <si>
    <t>POWIATOWA PORADNIA PSYCHOLOGICZNO-PEDAGOGICZNA W BIAŁYMSTOKU</t>
  </si>
  <si>
    <t>ul. Słonimska</t>
  </si>
  <si>
    <t>kontakt@pppp.bialystok.pl</t>
  </si>
  <si>
    <t>POWIATOWA PORADNIA PSYCHOLOGICZNO-PEDAGOGICZNA W BODZENTYNIE</t>
  </si>
  <si>
    <t>Bodzentyn</t>
  </si>
  <si>
    <t>poradnia@pppbodzentyn.pl</t>
  </si>
  <si>
    <t>POWIATOWA PORADNIA PSYCHOLOGICZNO-PEDAGOGICZNA W CHMIELNIKU</t>
  </si>
  <si>
    <t>Chmielnik</t>
  </si>
  <si>
    <t>ul. Furmańska</t>
  </si>
  <si>
    <t>poradniachmielnik@poczta.onet.pl</t>
  </si>
  <si>
    <t>POWIATOWA PORADNIA PSYCHOLOGICZNO-PEDAGOGICZNA W CZECHOWICACH-DZIEDZICACH</t>
  </si>
  <si>
    <t>poradnia@poradnia-czechowice.pl</t>
  </si>
  <si>
    <t>POWIATOWA PORADNIA PSYCHOLOGICZNO-PEDAGOGICZNA W CZECHOWICACH-DZIEDZICACH, FILIA W BIELSKU-BIAŁEJ</t>
  </si>
  <si>
    <t>POWIATOWA PORADNIA PSYCHOLOGICZNO-PEDAGOGICZNA W KĘTRZYNIE</t>
  </si>
  <si>
    <t>kontakt@powreketrzyn.pl</t>
  </si>
  <si>
    <t>POWIATOWA PORADNIA PSYCHOLOGICZNO-PEDAGOGICZNA W KŁODZKU</t>
  </si>
  <si>
    <t>centrum@pcpp.klodzko.pl</t>
  </si>
  <si>
    <t>POWIATOWA PORADNIA PSYCHOLOGICZNO-PEDAGOGICZNA W KŁODZKU FILIA BYSTRZYCA KŁODZKA</t>
  </si>
  <si>
    <t>por.bk@pcpp.klodzko.pl</t>
  </si>
  <si>
    <t>POWIATOWA PORADNIA PSYCHOLOGICZNO-PEDAGOGICZNA W KŁODZKU FILIA DUSZNIKI-ZDRÓJ</t>
  </si>
  <si>
    <t>Duszniki-Zdrój</t>
  </si>
  <si>
    <t>ul. Sprzymierzonych</t>
  </si>
  <si>
    <t>por.dusz@pcpp.klodzko.pl</t>
  </si>
  <si>
    <t>POWIATOWA PORADNIA PSYCHOLOGICZNO-PEDAGOGICZNA W KŁODZKU FILIA NOWA RUDA</t>
  </si>
  <si>
    <t>por.nr@pcpp.klodzko.pl</t>
  </si>
  <si>
    <t>POWIATOWA PORADNIA PSYCHOLOGICZNO-PEDAGOGICZNA W KORONOWIE</t>
  </si>
  <si>
    <t>Koronowo</t>
  </si>
  <si>
    <t>ul. Szosa Kotomierska</t>
  </si>
  <si>
    <t>sekretariat@poradniakoronowo.pl</t>
  </si>
  <si>
    <t>POWIATOWA PORADNIA PSYCHOLOGICZNO-PEDAGOGICZNA W KORONOWIE - FILIA W BYDGOSZCZY</t>
  </si>
  <si>
    <t>ul. Karpacka</t>
  </si>
  <si>
    <t>sekretariatfilia@poradniakoronowo.pl</t>
  </si>
  <si>
    <t>POWIATOWA PORADNIA PSYCHOLOGICZNO-PEDAGOGICZNA W KOSZALINIE</t>
  </si>
  <si>
    <t>ul. Władysława Andersa</t>
  </si>
  <si>
    <t>poradnia@powiat.koszalin.pl</t>
  </si>
  <si>
    <t>POWIATOWA PORADNIA PSYCHOLOGICZNO-PEDAGOGICZNA W ŁĘCZYCY</t>
  </si>
  <si>
    <t>łęczycki</t>
  </si>
  <si>
    <t>Łęczyca</t>
  </si>
  <si>
    <t>sekretariat@poradnialeczyca.pl</t>
  </si>
  <si>
    <t>POWIATOWA PORADNIA PSYCHOLOGICZNO-PEDAGOGICZNA W NAKLE NAD NOTECIĄ - FILIA W SZUBINIE</t>
  </si>
  <si>
    <t>ul. Kcyńska</t>
  </si>
  <si>
    <t>kontaktszubin@ppppnaklo.pl</t>
  </si>
  <si>
    <t>POWIATOWA PORADNIA PSYCHOLOGICZNO-PEDAGOGICZNA W NOWYM SĄCZU</t>
  </si>
  <si>
    <t>ppppns@op.pl</t>
  </si>
  <si>
    <t>POWIATOWA PORADNIA PSYCHOLOGICZNO-PEDAGOGICZNA W NOWYM SĄCZU FILIA W GRYBOWIE</t>
  </si>
  <si>
    <t>Grybów</t>
  </si>
  <si>
    <t>pppgrybow@op.pl</t>
  </si>
  <si>
    <t>POWIATOWA PORADNIA PSYCHOLOGICZNO-PEDAGOGICZNA W NOWYM SĄCZU FILIA W KRYNICY ZDROJU</t>
  </si>
  <si>
    <t>Krynica-Zdrój</t>
  </si>
  <si>
    <t>poradnia@krynica.net.pl</t>
  </si>
  <si>
    <t>POWIATOWA PORADNIA PSYCHOLOGICZNO-PEDAGOGICZNA W NOWYM SĄCZU FILIA W STARYM SĄCZU</t>
  </si>
  <si>
    <t>Stary Sącz</t>
  </si>
  <si>
    <t>poradniasts@poczta.onet.pl</t>
  </si>
  <si>
    <t>POWIATOWA PORADNIA PSYCHOLOGICZNO-PEDAGOGICZNA W OLSZTYNIE</t>
  </si>
  <si>
    <t>pl. Plac gen. Józefa Bema</t>
  </si>
  <si>
    <t>pppp.olsztyn@poczta.fm</t>
  </si>
  <si>
    <t>POWIATOWA PORADNIA PSYCHOLOGICZNO-PEDAGOGICZNA W OPATÓWKU</t>
  </si>
  <si>
    <t>kaliski</t>
  </si>
  <si>
    <t>Opatówek</t>
  </si>
  <si>
    <t>poradnia@powiat.kalisz.pl</t>
  </si>
  <si>
    <t>POWIATOWA PORADNIA PSYCHOLOGICZNO-PEDAGOGICZNA W OTWOCKU</t>
  </si>
  <si>
    <t>sekretariat@ppppotwock.pl</t>
  </si>
  <si>
    <t>poradniapajeczno@op.pl</t>
  </si>
  <si>
    <t>POWIATOWA PORADNIA PSYCHOLOGICZNO-PEDAGOGICZNA W PARCZEWIE</t>
  </si>
  <si>
    <t>parczewski</t>
  </si>
  <si>
    <t>Parczew</t>
  </si>
  <si>
    <t>poradnia@parczew.pl</t>
  </si>
  <si>
    <t>POWIATOWA PORADNIA PSYCHOLOGICZNO-PEDAGOGICZNA W PIEKOSZOWIE</t>
  </si>
  <si>
    <t>Piekoszów</t>
  </si>
  <si>
    <t>ppp_piekoszow@poczta.onet.pl</t>
  </si>
  <si>
    <t>POWIATOWA PORADNIA PSYCHOLOGICZNO-PEDAGOGICZNA W PIOTRKOWIE TRYBUNALSKIM</t>
  </si>
  <si>
    <t>poradnia@powiat-piotrkowski.pl</t>
  </si>
  <si>
    <t>POWIATOWA PORADNIA PSYCHOLOGICZNO-PEDAGOGICZNA W RYDZYNIE</t>
  </si>
  <si>
    <t>leszczyński</t>
  </si>
  <si>
    <t>Rydzyna</t>
  </si>
  <si>
    <t>pl. Plac Zamkowy</t>
  </si>
  <si>
    <t>poradnia@powiatowapppleszno.pl</t>
  </si>
  <si>
    <t>POWIATOWA PORADNIA PSYCHOLOGICZNO-PEDAGOGICZNA W SIEMIATYCZACH</t>
  </si>
  <si>
    <t>poradniapp@siemiatycze.pl</t>
  </si>
  <si>
    <t>POWIATOWA PORADNIA PSYCHOLOGICZNO-PEDAGOGICZNA W SKIERNIEWICACH</t>
  </si>
  <si>
    <t>pppp@powiat-skierniewice.pl</t>
  </si>
  <si>
    <t>POWIATOWA PORADNIA PSYCHOLOGICZNO-PEDAGOGICZNA W SŁAWNIE FILIA W DARŁOWIE</t>
  </si>
  <si>
    <t>ul. Franciszkańska</t>
  </si>
  <si>
    <t>POWIATOWA PORADNIA PSYCHOLOGICZNO-PEDAGOGICZNA W ŚLESINIE</t>
  </si>
  <si>
    <t>Ślesin</t>
  </si>
  <si>
    <t>slesin@ppppslesin.pl</t>
  </si>
  <si>
    <t>POWIATOWA PORADNIA PSYCHOLOGICZNO-PEDAGOGICZNA W ŚLESINIE FILIA W KONINIE</t>
  </si>
  <si>
    <t>konin@ppppslesin.pl</t>
  </si>
  <si>
    <t>POWIATOWA PORADNIA PSYCHOLOGICZNO-PEDAGOGICZNA W TARNOWIE</t>
  </si>
  <si>
    <t>ul. Krzyska</t>
  </si>
  <si>
    <t>sekretariat@pppptarnow.pl</t>
  </si>
  <si>
    <t>POWIATOWA PORADNIA PSYCHOLOGICZNO-PEDAGOGICZNA W TARNOWIE FILIA W TUCHOWIE</t>
  </si>
  <si>
    <t>Tuchów</t>
  </si>
  <si>
    <t>ul. Walerego Wróblewskiego</t>
  </si>
  <si>
    <t>filiatuchow@pppptarnow.pl</t>
  </si>
  <si>
    <t>POWIATOWA PORADNIA PSYCHOLOGICZNO-PEDAGOGICZNA W TARNOWIE FILIA W WOJNICZU</t>
  </si>
  <si>
    <t>Wojnicz</t>
  </si>
  <si>
    <t>filiawojnicz@pppptarnow.pl</t>
  </si>
  <si>
    <t>POWIATOWA PORADNIA PSYCHOLOGICZNO-PEDAGOGICZNA W TARNOWIE FILIA W ŻABNIE</t>
  </si>
  <si>
    <t>Żabno</t>
  </si>
  <si>
    <t>filiazabno@pppptarnow.pl</t>
  </si>
  <si>
    <t>POWIATOWE CENTRUM PORADNICTWA PSYCHOLOGICZNO-PEDAGOGICZNEGO I DORADZTWA EDUKACYJNEGO PORADNIA PSYCHOLOGICZNO-PEDAGOGICZNA W DZIERŻONIOWIE</t>
  </si>
  <si>
    <t>poradniaparkowa2@wp.pl</t>
  </si>
  <si>
    <t>POWIATOWE CENTRUM PORADNICTWA PSYCHOLOGICZNO-PEDAGOGICZNEGO I DORADZTWA EDUKACYJNEGO PORADNIA PSYCHOLOGICZNO-PEDAGOGICZNA W DZIERŻONIOWIE FILIA W BIELAWIE</t>
  </si>
  <si>
    <t>poradniabielawa@wp.pl</t>
  </si>
  <si>
    <t>POWIATOWE CENTRUM ROZWOJU EDUKACJI W IŁAWIE, PORADNIA PSYCHOLOGICZNO-PEDAGOGICZNA W IŁAWIE</t>
  </si>
  <si>
    <t>iławski</t>
  </si>
  <si>
    <t>Iława</t>
  </si>
  <si>
    <t>sekretariat@pcre.ilawa.pl</t>
  </si>
  <si>
    <t>POWIATOWY ZESPÓŁ PORADNI PSYCHOLOGICZNO-PEDAGOGICZNYCH W KRAŚNIKU</t>
  </si>
  <si>
    <t>sekretariat@poradniakrasnik.pl</t>
  </si>
  <si>
    <t>PRACOWNIA GAYA NIEPUBLICZNA SPECJALISTYCZNA PORADNIA PSYCHOLOGICZNO-PEDAGOGICZNA</t>
  </si>
  <si>
    <t>psycholog-gaya@wp.pl</t>
  </si>
  <si>
    <t>PRACOWNIA NIEPUBLICZNA PORADNIA PSYCHOLOGICZNO-PEDAGOGICZNA W ŁAŃCUCIE</t>
  </si>
  <si>
    <t>kontakt@pracowniamowy.pl</t>
  </si>
  <si>
    <t>PRACOWNIA PSYCHOLOGICZNA EGO</t>
  </si>
  <si>
    <t>ul. Murmańska</t>
  </si>
  <si>
    <t>ego@ego-psychologia.pl</t>
  </si>
  <si>
    <t>PRACOWNIA PSYCHOLOGICZNO-TERAPEUTYCZNA NEURO-PSYCHO-SOMA DANIEL NASKRENT NIEPUBLICZNA PORADNIA PSYCHOLOGICZNO-PEDAGOGICZNA W WOLSZTYNIE</t>
  </si>
  <si>
    <t>ul. Wodna</t>
  </si>
  <si>
    <t>PRIMO PSYCHE NIEPUBLICZNA PORADNIA PSYCHOLOGICZNO-PEDAGOGICZNA PRZY INSTYTUCIE KSZTAŁCENIA EKO-TUR</t>
  </si>
  <si>
    <t>ul. Ludwika Nabielaka</t>
  </si>
  <si>
    <t>info@primopsyche.pl</t>
  </si>
  <si>
    <t>PRO COMUNICATIONS NIEPUBLICZNA PORADNIA PSYCHOLOGICZNO-PEDAGOGICZNA</t>
  </si>
  <si>
    <t>ul. Zofii Kossak-Szczuckiej</t>
  </si>
  <si>
    <t>a.nowinska@terapiairozwoj.com</t>
  </si>
  <si>
    <t>PROGRES NIEPUBLICZNA PORADNIA PSYCHOLOGICZNO-PEDAGOGICZNA</t>
  </si>
  <si>
    <t>progres-pszczyna@wp.pl</t>
  </si>
  <si>
    <t>PRYWATNA PORADNIA PEDAGOGICZNO-PSYCHOLOGICZNA "POCIECHA" W BIAŁYMSTOKU</t>
  </si>
  <si>
    <t>poradnia.pociecha@gmail.com</t>
  </si>
  <si>
    <t>PRYWATNA PORADNIA PSYCHOLOGICZNO-PEDAGOGICZNA "NOWA"W LUBLINIE</t>
  </si>
  <si>
    <t>ul. Wojciecha Kiwerskiego</t>
  </si>
  <si>
    <t>poradnia.nowa@gmail.com</t>
  </si>
  <si>
    <t>PRYWATNA PORADNIA PSYCHOLOGICZNO-PEDAGOGICZNA "STO POCIECH W OPOLU LUBELSKIM"</t>
  </si>
  <si>
    <t>jmw.stopociech@gmail.com</t>
  </si>
  <si>
    <t>PRYWATNA PORADNIA PSYCHOLOGICZNO-PEDAGOGICZNA "STO POCIECH"</t>
  </si>
  <si>
    <t>ul. Obrońców Pokoju</t>
  </si>
  <si>
    <t>stopociech.leczna@gmail.com</t>
  </si>
  <si>
    <t>PRYWATNA PORADNIA PSYCHOLOGICZNO-PEDAGOGICZNA „DOBRE MIEJSCE” W SKARŻYSKU-KAMIENNEJ</t>
  </si>
  <si>
    <t>kontakt@poradnia-skarzysko.pl</t>
  </si>
  <si>
    <t>PRYWATNA PORADNIA PSYCHOLOGICZNO-PEDAGOGICZNA EDUMEDICA, MGR ARLETA CZUCHRYTA</t>
  </si>
  <si>
    <t>ul. Zawidowska</t>
  </si>
  <si>
    <t>edumedica1@o2.pl</t>
  </si>
  <si>
    <t>PRYWATNA PORADNIA PSYCHOLOGICZNO-PEDAGOGICZNA PAWŁA I MARZENY ZAKRZEWSKICH</t>
  </si>
  <si>
    <t>ul. Namysłowska</t>
  </si>
  <si>
    <t>PRYWATNA PORADNIA PSYCHOLOGICZNO-PEDAGOGICZNA PROGRESS ANNA MOLA</t>
  </si>
  <si>
    <t>ul. Sokolska</t>
  </si>
  <si>
    <t>annamola@gmail.com</t>
  </si>
  <si>
    <t>PRYWATNA PORADNIA PSYCHOLOGICZNO-PEDAGOGICZNA W BIELAWIE "MENTOR"</t>
  </si>
  <si>
    <t>centrump@vp.pl</t>
  </si>
  <si>
    <t>PSYCHO CLINIC DIES MEI PORADNIA PSYCHOLOGICZNO - PEDAGOGICZNA W PABIANICACH</t>
  </si>
  <si>
    <t>mstajuda@diesmei.pl</t>
  </si>
  <si>
    <t>PSYCHOLOG DLA CIEBIE NIEPUBLICZNA PORADNIA PSYCHOLOGICZNO- PEDAGOGICZNA</t>
  </si>
  <si>
    <t>ul. Łączna</t>
  </si>
  <si>
    <t>diagnoza@psycholog-dlaciebie.pl</t>
  </si>
  <si>
    <t>PSYCHOLOGICZNA PRACOWNIA KONSULTACYJNO-WYCHOWAWCZA</t>
  </si>
  <si>
    <t>ul. Na Uboczu</t>
  </si>
  <si>
    <t>PSYCHOLOGICZNE CENTRUM DIAGNOZY I TERAPII WYŻSZEJ SZKOŁY EKONOMII I INNOWACJI W LUBLINIE</t>
  </si>
  <si>
    <t>ul. Mełgiewska</t>
  </si>
  <si>
    <t>centrum@wsei.lublin.pl</t>
  </si>
  <si>
    <t>PUBLICZNA PORADNIA PSYCHOLOGICZNO - PEDAGOGICZNA</t>
  </si>
  <si>
    <t>lubliniecki</t>
  </si>
  <si>
    <t>Lubliniec</t>
  </si>
  <si>
    <t>sekretariat@pppplubliniec.pl</t>
  </si>
  <si>
    <t>PUBLICZNA PORADNIA PSYCHOLOGICZNO - PEDAGOGICZNA W KONIECPOLU</t>
  </si>
  <si>
    <t>Koniecpol</t>
  </si>
  <si>
    <t>ul. Chrząstowska</t>
  </si>
  <si>
    <t>sekretariat@ppppkoniecpol.pl</t>
  </si>
  <si>
    <t>PUBLICZNA PORADNIA PSYCHOLOGICZNO - PEDAGOGICZNA W KOWARACH</t>
  </si>
  <si>
    <t>karkonoski</t>
  </si>
  <si>
    <t>Kowary</t>
  </si>
  <si>
    <t>poradniakowary@wp.pl</t>
  </si>
  <si>
    <t>Jelenia Góra</t>
  </si>
  <si>
    <t>PUBLICZNA PORADNIA PSYCHOLOGICZNO - PEDAGOGICZNA W SZKLARSKIEJ PORĘBIE</t>
  </si>
  <si>
    <t>Szklarska Poręba</t>
  </si>
  <si>
    <t>sekretariat@poradniaszklarska.pl</t>
  </si>
  <si>
    <t>PUBLICZNA PORADNIA PSYCHOLOGICZNO - PEDAGOGICZNA W ZĄBKACH</t>
  </si>
  <si>
    <t>PUBLICZNA PORADNIA PSYCHOLOGICZNO-PEDAGOGICZNA</t>
  </si>
  <si>
    <t>kędzierzyńsko-kozielski</t>
  </si>
  <si>
    <t>Kędzierzyn-Koźle</t>
  </si>
  <si>
    <t>ul. Skarbowa</t>
  </si>
  <si>
    <t>sekretariat@poradniakk.pl</t>
  </si>
  <si>
    <t>ul. Skłodowskiej-Curie</t>
  </si>
  <si>
    <t>ppppsok@wp.pl</t>
  </si>
  <si>
    <t>PUBLICZNA PORADNIA PSYCHOLOGICZNO-PEDAGOGICZNA "SŁONECZNA KRAINA"</t>
  </si>
  <si>
    <t>ul. Bielska</t>
  </si>
  <si>
    <t>sekretariat@slonecznaporadnia.pl</t>
  </si>
  <si>
    <t>PUBLICZNA PORADNIA PSYCHOLOGICZNO-PEDAGOGICZNA CENTRUM ROZWOJU I TERAPII DZIECKA I RODZINY</t>
  </si>
  <si>
    <t>PUBLICZNA PORADNIA PSYCHOLOGICZNO-PEDAGOGICZNA NR 1</t>
  </si>
  <si>
    <t>sekretariat@pppp.grudziadz.com</t>
  </si>
  <si>
    <t>PUBLICZNA PORADNIA PSYCHOLOGICZNO-PEDAGOGICZNA PÓŁNOC</t>
  </si>
  <si>
    <t>ul. Ireny Kosmowskiej</t>
  </si>
  <si>
    <t>PUBLICZNA PORADNIA PSYCHOLOGICZNO-PEDAGOGICZNA POŁUDNIE</t>
  </si>
  <si>
    <t>ul. mjra Waleriana Łukasińskiego</t>
  </si>
  <si>
    <t>PUBLICZNA PORADNIA PSYCHOLOGICZNO-PEDAGOGICZNA W JELENIEJ GÓRZE</t>
  </si>
  <si>
    <t>poradnia@pppjeleniagora.pl</t>
  </si>
  <si>
    <t>PUBLICZNA PORADNIA PSYCHOLOGICZNO-PEDAGOGICZNA W MYSZKOWIE</t>
  </si>
  <si>
    <t>ppppmysz@interia.pl</t>
  </si>
  <si>
    <t>PUBLICZNA PORADNIA PSYCHOLOGICZNO-PEDAGOGICZNA W OLEŚNIE</t>
  </si>
  <si>
    <t>oleski</t>
  </si>
  <si>
    <t>Olesno</t>
  </si>
  <si>
    <t>ul. Dębowa</t>
  </si>
  <si>
    <t>ppp-p_olesno@wp.pl</t>
  </si>
  <si>
    <t>PUBLICZNA PORADNIA PSYCHOLOGICZNO-PEDAGOGICZNA W STASZOWIE</t>
  </si>
  <si>
    <t>staszowski</t>
  </si>
  <si>
    <t>Staszów</t>
  </si>
  <si>
    <t>sekretariat@pppstaszow.pl</t>
  </si>
  <si>
    <t>PUBLICZNA SPECJALISTYCZNA PORADNIA PSYCHOLOGICZNO - PEDAGOGICZNA "WCZESNEGO WSPOMAGANIA ROZWOJU DZIECKA" W RADOMSKU</t>
  </si>
  <si>
    <t>ul. Prymasa Wyszyńskiego</t>
  </si>
  <si>
    <t>poradnia@logopedia.pl</t>
  </si>
  <si>
    <t>PUBLICZNA SPECJALISTYCZNA PORADNIA PSYCHOLOGICZNO-PEDAGOGICZNA "WCZESNEGO WSPOMAGANIA ROZWOJU DZIECKA" W JASTRZĘBIU-ZDROJU</t>
  </si>
  <si>
    <t>poradnia.jastrzebie@logopedia.pl</t>
  </si>
  <si>
    <t>PUBLICZNA SPECJALISTYCZNA PORADNIA PSYCHOLOGICZNO-PEDAGOGICZNA DLA POLONII HOMO CREATOR W OPOLU</t>
  </si>
  <si>
    <t>PUBLICZNA SPECJALISTYCZNA PORADNIA PSYCHOLOGICZNO-PEDAGOGICZNA FUNDACJI "IN CORPORE" W DĄBROWIE GÓRNICZEJ</t>
  </si>
  <si>
    <t>PUBLICZNA SPECJALISTYCZNA PORADNIA PSYCHOLOGICZNO-PEDAGOGICZNA FUNDACJI IN CORPORE</t>
  </si>
  <si>
    <t>INFO@FUNDACJAINCORPORE.PL</t>
  </si>
  <si>
    <t>PUBLICZNA SPECJALISTYCZNA PORADNIA PSYCHOLOGICZNO-PEDAGOGICZNA FUNDACJI IN CORPORE W KATOWICACH</t>
  </si>
  <si>
    <t>info@fundacjaincorpore.pl</t>
  </si>
  <si>
    <t>RAZEM. OŚRODEK PSYCHOLOGICZNO - PEDAGOGICZNY</t>
  </si>
  <si>
    <t>razem@razem.pl</t>
  </si>
  <si>
    <t>RUBINOWA NIEPUBLICZNA PORADNIA PSYCHOLOGICZNO-PEDAGOGICZNA</t>
  </si>
  <si>
    <t>ul. Rubinowa</t>
  </si>
  <si>
    <t>poradniarubinowa@gmail.com</t>
  </si>
  <si>
    <t>SLEEPCONCEPT</t>
  </si>
  <si>
    <t>kontakt@sleepconcept.pl</t>
  </si>
  <si>
    <t>SPECJALISTYCZNA NIEPUBLICZNA PORADNIA PSYCHOLOGICZNO-PEDAGOGICZNA</t>
  </si>
  <si>
    <t>bodzimek@gmail.com</t>
  </si>
  <si>
    <t>SPECJALISTYCZNA NIEPUBLICZNA PORADNIA PSYCHOLOGICZNO-PEDAGOGICZNA "ASK"</t>
  </si>
  <si>
    <t>ul. Majora Henryka Sucharskiego</t>
  </si>
  <si>
    <t>brdkozlowski@gmail.com</t>
  </si>
  <si>
    <t>SPECJALISTYCZNA NIEPUBLICZNA PORADNIA PSYCHOLOGICZNO-PEDAGOGICZNA "PERSONA"</t>
  </si>
  <si>
    <t>ul. Marii Dąbrowskiej</t>
  </si>
  <si>
    <t>joannawiklik@wp.pl</t>
  </si>
  <si>
    <t>SPECJALISTYCZNA NIEPUBLICZNA PORADNIA PSYCHOLOGICZNO-PEDAGOGICZNA "ŻARÓWKA"</t>
  </si>
  <si>
    <t>ul. Prymasa Stefana Wyszyńskiego</t>
  </si>
  <si>
    <t>centrumodpoczatku@gmail.com</t>
  </si>
  <si>
    <t>SPECJALISTYCZNA NIEPUBLICZNA PORADNIA PSYCHOLOGICZNO-PEDAGOGICZNA W NYSIE</t>
  </si>
  <si>
    <t>ul. Bolesława Prusa</t>
  </si>
  <si>
    <t>kontakt@spoldzielnia-parasol.pl</t>
  </si>
  <si>
    <t>SPECJALISTYCZNA PORADNIA LOGOPEDYCZNO-PSYCHOLOGICZNA GADUŁA</t>
  </si>
  <si>
    <t>ul. Kronikarza Galla</t>
  </si>
  <si>
    <t>gadula@onet.eu</t>
  </si>
  <si>
    <t>SPECJALISTYCZNA PORADNIA MAŁEGO DZIECKA IWE</t>
  </si>
  <si>
    <t>ul. Regulska</t>
  </si>
  <si>
    <t>dyrektor@ledu.com.pl</t>
  </si>
  <si>
    <t>SPECJALISTYCZNA PORADNIA PROFILAKTYCZNO-TERAPEUTYCZNA DLA DZIECI I MŁODZIEŻY ZE ŚRODOWISK ZAGROŻONYCH ALKOHOLIZMEM "OPTA"</t>
  </si>
  <si>
    <t>sekretariat.spppopta@eduwarszawa.pl</t>
  </si>
  <si>
    <t>SPECJALISTYCZNA PORADNIA PROFILAKTYCZNO-TERAPEUTYCZNA W TARNOWIE</t>
  </si>
  <si>
    <t>ul. Józefa Szujskiego</t>
  </si>
  <si>
    <t>dyrsppt@umt.tarnow.pl</t>
  </si>
  <si>
    <t>SPECJALISTYCZNA PORADNIA PSYCHOLOGICZNO - PEDAGOGICZNA D.O.M W PIASECZNIE</t>
  </si>
  <si>
    <t>kontakt@poradnia-dom.pl</t>
  </si>
  <si>
    <t>SPECJALISTYCZNA PORADNIA PSYCHOLOGICZNO-PEDAGOGICZNA</t>
  </si>
  <si>
    <t>biuro@karuzelateam.pl</t>
  </si>
  <si>
    <t>poradnia@sppp.katowice.pl</t>
  </si>
  <si>
    <t>ul. Jana Pawła Woronicza</t>
  </si>
  <si>
    <t>cwro@cwro.edu.pl</t>
  </si>
  <si>
    <t>SPECJALISTYCZNA PORADNIA PSYCHOLOGICZNO-PEDAGOGICZNA 'TĘCZA'</t>
  </si>
  <si>
    <t>ul. Stefana Czarnieckiego</t>
  </si>
  <si>
    <t>poczta@poradniatecza.pl</t>
  </si>
  <si>
    <t>SPECJALISTYCZNA PORADNIA PSYCHOLOGICZNO-PEDAGOGICZNA "KRAKOWSKI OŚRODEK TERAPII"</t>
  </si>
  <si>
    <t>ul. Helclów</t>
  </si>
  <si>
    <t>kot@mjo.krakow.pl</t>
  </si>
  <si>
    <t>SPECJALISTYCZNA PORADNIA PSYCHOLOGICZNO-PEDAGOGICZNA "SZANSA" W WĘGROWIE</t>
  </si>
  <si>
    <t>sponiawegrow@onet.pl</t>
  </si>
  <si>
    <t>SPECJALISTYCZNA PORADNIA PSYCHOLOGICZNO-PEDAGOGICZNA "TOP"</t>
  </si>
  <si>
    <t>ul. Raszyńska</t>
  </si>
  <si>
    <t>sppptop@eduwarszawa.pl</t>
  </si>
  <si>
    <t>SPECJALISTYCZNA PORADNIA PSYCHOLOGICZNO-PEDAGOGICZNA "UNIWERSYTET DLA RODZICÓW"</t>
  </si>
  <si>
    <t>spppudr@eduwarszawa.pl</t>
  </si>
  <si>
    <t>SPECJALISTYCZNA PORADNIA PSYCHOLOGICZNO-PEDAGOGICZNA 32-050 SKAWINA, UL. KOŚCIUSZKI 10</t>
  </si>
  <si>
    <t>Skawina</t>
  </si>
  <si>
    <t>poradniaskawina@interia.pl</t>
  </si>
  <si>
    <t>SPECJALISTYCZNA PORADNIA PSYCHOLOGICZNO-PEDAGOGICZNA DLA DZIECI I MŁODZIEŻY Z ZABURZENIAMI EMOCJONALNYMI W BIAŁYMSTOKU</t>
  </si>
  <si>
    <t>sppp@um.bialystok.pl</t>
  </si>
  <si>
    <t>SPECJALISTYCZNA PORADNIA PSYCHOLOGICZNO-PEDAGOGICZNA DLA DZIECI I MŁODZIEŻY ZE SPECJALNYMI POTRZEBAMI ROZWOJOWYMI I EDUKACYJNYMI</t>
  </si>
  <si>
    <t>SPECJALISTYCZNA PORADNIA PSYCHOLOGICZNO-PEDAGOGICZNA DLA DZIECI Z NIEPOWODZENIAMI EDUKACYJNYMI W KRAKOWIE</t>
  </si>
  <si>
    <t>ul. św. Gertrudy</t>
  </si>
  <si>
    <t>spppdne@mjo.krakow.pl</t>
  </si>
  <si>
    <t>SPECJALISTYCZNA PORADNIA PSYCHOLOGICZNO-PEDAGOGICZNA DLA DZIECI, MŁODZIEŻY I DOROSŁYCH</t>
  </si>
  <si>
    <t>ul. Dolomitowa</t>
  </si>
  <si>
    <t>katarzyna.poradnia@gmail.com</t>
  </si>
  <si>
    <t>SPECJALISTYCZNA PORADNIA PSYCHOLOGICZNO-PEDAGOGICZNA DLA MŁODZIEŻY</t>
  </si>
  <si>
    <t>al. Ks. Kardynała Stefana Wyszyńskiego</t>
  </si>
  <si>
    <t>kontakt@pppdm.elodz.edu.pl</t>
  </si>
  <si>
    <t>SPECJALISTYCZNA PORADNIA PSYCHOLOGICZNO-PEDAGOGICZNA DORADZTWA ZAWODOWEGO I DLA DZIECI Z WADAMI ROZWOJOWYMI</t>
  </si>
  <si>
    <t>sekretariat@spppdz.elodz.edu.pl</t>
  </si>
  <si>
    <t>SPECJALISTYCZNA PORADNIA PSYCHOLOGICZNO-PEDAGOGICZNA ECHO</t>
  </si>
  <si>
    <t>kawa.kasia81@gmail.com</t>
  </si>
  <si>
    <t>SPECJALISTYCZNA PORADNIA PSYCHOLOGICZNO-PEDAGOGICZNA PN. "KRAKOWSKI OŚRODEK KARIERY" W KRAKOWIE</t>
  </si>
  <si>
    <t>ul. Wacława Popławskiego</t>
  </si>
  <si>
    <t>kok@mjo.krakow.pl</t>
  </si>
  <si>
    <t>SPECJALISTYCZNA PORADNIA PSYCHOLOGICZNO-PEDAGOGICZNA POWIATU KRAKOWSKIEGO</t>
  </si>
  <si>
    <t>ul. Fatimska</t>
  </si>
  <si>
    <t>sekretariat.krakow@sppppk.pl</t>
  </si>
  <si>
    <t>SPECJALISTYCZNA PORADNIA PSYCHOLOGICZNO-PEDAGOGICZNA POWIATU KRAKOWSKIEGO - FILIA W SKALE</t>
  </si>
  <si>
    <t>ul. Bohaterów Września</t>
  </si>
  <si>
    <t>poradnia.skala@gmail.com</t>
  </si>
  <si>
    <t>SPECJALISTYCZNA PORADNIA PSYCHOLOGICZNO-PEDAGOGICZNA POWIATU KRAKOWSKIEGO - FILIA W SŁOMNIKACH</t>
  </si>
  <si>
    <t>Słomniki</t>
  </si>
  <si>
    <t>poradnia.slomniki@gmail.com</t>
  </si>
  <si>
    <t>SPECJALISTYCZNA PORADNIA PSYCHOLOGICZNO-PEDAGOGICZNA W CHWAŁOWICACH</t>
  </si>
  <si>
    <t>Chwałowice</t>
  </si>
  <si>
    <t>sekretariat@sosw-chwalowice.pl</t>
  </si>
  <si>
    <t>SPECJALISTYCZNA PORADNIA PSYCHOLOGICZNO-PEDAGOGICZNA W LUBLINIE</t>
  </si>
  <si>
    <t>ul. Artura Grottgera</t>
  </si>
  <si>
    <t>sppp@op.pl</t>
  </si>
  <si>
    <t>SPECJALISTYCZNA PORADNIA PSYCHOLOGICZNO-PEDAGOGICZNA W MIELCU</t>
  </si>
  <si>
    <t>ul. Sękowskiego</t>
  </si>
  <si>
    <t>sekretariat@poradnia.mielec.pl</t>
  </si>
  <si>
    <t>SPECJALISTYCZNA PORADNIA RODZINNA</t>
  </si>
  <si>
    <t>sekretariat@poradniarodzinna.com.pl</t>
  </si>
  <si>
    <t>SPECJALISTYCZNA PORADNIA TERAPEUTYCZNA</t>
  </si>
  <si>
    <t>ul. Borowska</t>
  </si>
  <si>
    <t>sekretariat.zpo3@wroclawskaedukacja.pl</t>
  </si>
  <si>
    <t>SPECJALISTYCZNA PORADNIA TERAPEUTYCZNA DLA DZIECI, MŁODZIEŻY I ICH RODZIN W NOWOGARDZIE</t>
  </si>
  <si>
    <t>Nowogard</t>
  </si>
  <si>
    <t>spt.nowogard@onet.eu</t>
  </si>
  <si>
    <t>SPECJALISTYCZNA PORADNIA WCZESNEJ POMOCY PSYCHOLOGICZNO-PEDAGOGICZNEJ W KRAKOWIE</t>
  </si>
  <si>
    <t>os. Osiedle Willowe</t>
  </si>
  <si>
    <t>sekretariat@owpp.pl</t>
  </si>
  <si>
    <t>SPECJALISTYCZNA PORADNIA WSPIERANIA ROZWOJU I TERAPII</t>
  </si>
  <si>
    <t>kontakt@spwrit.elodz.edu.pl</t>
  </si>
  <si>
    <t>SPECJALISTYCZNA PUBLICZNA PORADNIA PSYCHOLOGICZNO - PEDAGOGICZNA W RADOMIU</t>
  </si>
  <si>
    <t>ul. Lipska</t>
  </si>
  <si>
    <t>sekretariat@zssipo.radom.pl</t>
  </si>
  <si>
    <t>SPOŁECZNA PORADNIA PSYCHOLOGICZNO-PEDAGOGICZNA W DĄBROWIE GÓRNICZEJ</t>
  </si>
  <si>
    <t>ul. Wirgiliusza Grynia</t>
  </si>
  <si>
    <t>sekretariat@spoleczneszkoly.pl</t>
  </si>
  <si>
    <t>STREFA POGODNA</t>
  </si>
  <si>
    <t>TERRA NIEPUBLICZNA PORADNIA PSYCHOLOGICZNO-PEDAGOGICZNA</t>
  </si>
  <si>
    <t>biuro@terra-szkolenia.pl</t>
  </si>
  <si>
    <t>WAŁBRZYSKIE CENTRUM WSPOMAGANIA ROZWOJU NIEPUBLICZNA PORADNIA PSYCHOLOGICZNO-PEDAGOGICZNA</t>
  </si>
  <si>
    <t>WIELKOPOLSKA AKADEMIA NAUKI I ROZWOJU - JAKUB MICHAŁOWSKI</t>
  </si>
  <si>
    <t>info@wanir.edu.pl</t>
  </si>
  <si>
    <t>ZESPÓŁ PLACÓWEK OŚWIATOWYCH W LIMANOWEJ - PORADNIA PSYCHOLOGICZNO PEDAGOGICZNA</t>
  </si>
  <si>
    <t>Limanowa</t>
  </si>
  <si>
    <t>ul. Zygmunta Augusta</t>
  </si>
  <si>
    <t>pomagamy@poczta.onet.pl</t>
  </si>
  <si>
    <t>ZESPÓŁ PORADNI NR 1 W LUBLINIE PORADNIA PSYCHOLOGICZNO-PEDAGOGICZNA NR 5</t>
  </si>
  <si>
    <t>ul. Magnoliowa</t>
  </si>
  <si>
    <t>poczta@zp1.lublin.eu</t>
  </si>
  <si>
    <t>ZESPÓŁ PORADNI NR 1 W LUBLINIE SPECJALISTYCZNA PORADNIA ZAWODOWA</t>
  </si>
  <si>
    <t>ZESPÓŁ PORADNI NR 2 SPECJALISTYCZNA PORADNIA PSYCHOPROFILAKTYKI I TERAPII RODZIN IM.PROF.W.FIJAŁKOWSKIEGO W LUBLINIE</t>
  </si>
  <si>
    <t>ul. Żołnierzy Niepodległej</t>
  </si>
  <si>
    <t>poczta@zp2.lublin.eu</t>
  </si>
  <si>
    <t>ZESPÓŁ PORADNI NR 2 W LUBLINIE PORADNIA PSYCHOLOGICZNO - PEDAGOGICZNA NR 4</t>
  </si>
  <si>
    <t>ZESPÓŁ PORADNI NR 3 W LUBLINIE - SPECJALISTYCZNA PORADNIA WCZESNEJ DIAGNOZY I REHABILITACJI</t>
  </si>
  <si>
    <t>ul. Młodej Polski</t>
  </si>
  <si>
    <t>poczta@zp3.lublin.eu</t>
  </si>
  <si>
    <t>ZESPÓŁ PORADNI NR 3 W LUBLINIE PORADNIA PSYCHOLOGICZNO-PEDAGOGICZNA NR 6</t>
  </si>
  <si>
    <t>ZESPÓŁ PORADNI PSYCHOLOGICZNO-PEDAGOGICZNYCH POWIATU ŻARSKIEGO</t>
  </si>
  <si>
    <t>sekretariat@pppzary.pl</t>
  </si>
  <si>
    <t>ZESPÓŁ PORADNI PSYCHOLOGICZNO-PEDAGOGICZNYCH W BIELSKU-BIAŁEJ PORADNIA PSYCHOLOGICZNO-PEDAGOGICZNA NR 1</t>
  </si>
  <si>
    <t>zppp@cuw.bielsko-biala.pl</t>
  </si>
  <si>
    <t>ZESPÓŁ PORADNI PSYCHOLOGICZNO-PEDAGOGICZNYCH W BIELSKU-BIAŁEJ PORADNIA PSYCHOLOGICZNO-PEDAGOGICZNA NR 2</t>
  </si>
  <si>
    <t>ZESPÓŁ PORADNI PSYCHOLOGICZNO-PEDAGOGICZNYCH W BIELSKU-BIAŁEJ SPECJALISTYCZNA PORADNIA DLA DZIECI Z WADĄ WZROKU, SŁUCHU I AUTYZMEM</t>
  </si>
  <si>
    <t>ZESPÓŁ PORADNI PSYCHOLOGICZNO-PEDAGOGICZNYCH W GORZOWIE WLKP.</t>
  </si>
  <si>
    <t>ul. Czereśniowa</t>
  </si>
  <si>
    <t>zpp@edu.gorzow.pl</t>
  </si>
  <si>
    <t>ZESPÓŁ SZKÓŁ OGÓLNOKSZTAŁCĄCYCH NR 6 - PORADNIA PSYCHOLOGICZNO-PEDAGOGICZNA NR 6 W GDAŃSKU</t>
  </si>
  <si>
    <t>ul. Teofila Lenartowicza</t>
  </si>
  <si>
    <t>sekretariat@ppp6.edu.gdansk.pl</t>
  </si>
  <si>
    <t>ZIELONA PORADNIA</t>
  </si>
  <si>
    <t>zielona.poradnia@gmail.com</t>
  </si>
  <si>
    <t>Załącznik nr 11 Lista funkcjonujących publicznych poradni psychologiczno-pedagogicznych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</si>
</sst>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10" xfId="0" applyFont="1" applyBorder="1"/>
    <xf numFmtId="0" fontId="0" fillId="0" borderId="10" xfId="0" applyBorder="1"/>
    <xf numFmtId="0" fontId="16" fillId="0" borderId="11" xfId="0" applyFont="1" applyBorder="1" applyAlignme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1333"/>
  <sheetViews>
    <sheetView tabSelected="1" zoomScaleNormal="100" workbookViewId="0">
      <selection activeCell="D93" sqref="D93"/>
    </sheetView>
  </sheetViews>
  <sheetFormatPr defaultRowHeight="15" x14ac:dyDescent="0.25"/>
  <cols>
    <col min="1" max="1" width="12" bestFit="1" customWidth="1"/>
    <col min="2" max="2" width="14.85546875" bestFit="1" customWidth="1"/>
    <col min="3" max="3" width="37.28515625" bestFit="1" customWidth="1"/>
    <col min="4" max="4" width="166.7109375" bestFit="1" customWidth="1"/>
    <col min="5" max="6" width="23.28515625" bestFit="1" customWidth="1"/>
    <col min="7" max="8" width="23.5703125" bestFit="1" customWidth="1"/>
    <col min="9" max="9" width="24.140625" bestFit="1" customWidth="1"/>
    <col min="10" max="10" width="40.5703125" bestFit="1" customWidth="1"/>
    <col min="13" max="14" width="13.140625" bestFit="1" customWidth="1"/>
    <col min="15" max="15" width="48.140625" bestFit="1" customWidth="1"/>
    <col min="16" max="16" width="17.85546875" bestFit="1" customWidth="1"/>
  </cols>
  <sheetData>
    <row r="1" spans="1:16" x14ac:dyDescent="0.25">
      <c r="A1" s="3" t="s">
        <v>4214</v>
      </c>
      <c r="B1" s="3"/>
      <c r="C1" s="3"/>
      <c r="D1" s="3"/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</row>
    <row r="3" spans="1:16" hidden="1" x14ac:dyDescent="0.25">
      <c r="A3">
        <v>126435</v>
      </c>
      <c r="B3" t="str">
        <f>"360322093"</f>
        <v>360322093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20</v>
      </c>
      <c r="I3" t="s">
        <v>21</v>
      </c>
      <c r="J3" t="s">
        <v>22</v>
      </c>
      <c r="K3" t="str">
        <f>"104"</f>
        <v>104</v>
      </c>
      <c r="L3" t="str">
        <f>"1"</f>
        <v>1</v>
      </c>
      <c r="M3" t="str">
        <f>"02-781"</f>
        <v>02-781</v>
      </c>
      <c r="N3" t="str">
        <f>"602676473"</f>
        <v>602676473</v>
      </c>
      <c r="O3" t="s">
        <v>23</v>
      </c>
      <c r="P3" t="s">
        <v>24</v>
      </c>
    </row>
    <row r="4" spans="1:16" hidden="1" x14ac:dyDescent="0.25">
      <c r="A4">
        <v>125256</v>
      </c>
      <c r="B4" t="str">
        <f>"123215254"</f>
        <v>123215254</v>
      </c>
      <c r="C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29</v>
      </c>
      <c r="I4" t="s">
        <v>30</v>
      </c>
      <c r="J4" t="s">
        <v>31</v>
      </c>
      <c r="K4" t="str">
        <f>"1c"</f>
        <v>1c</v>
      </c>
      <c r="L4" t="str">
        <f>""</f>
        <v/>
      </c>
      <c r="M4" t="str">
        <f>"32-500"</f>
        <v>32-500</v>
      </c>
      <c r="N4" t="str">
        <f>"664959419"</f>
        <v>664959419</v>
      </c>
      <c r="O4" t="s">
        <v>32</v>
      </c>
      <c r="P4" t="s">
        <v>24</v>
      </c>
    </row>
    <row r="5" spans="1:16" hidden="1" x14ac:dyDescent="0.25">
      <c r="A5">
        <v>130739</v>
      </c>
      <c r="B5" t="str">
        <f>"364444232"</f>
        <v>364444232</v>
      </c>
      <c r="C5" t="s">
        <v>16</v>
      </c>
      <c r="D5" t="s">
        <v>33</v>
      </c>
      <c r="E5" t="s">
        <v>34</v>
      </c>
      <c r="F5" t="s">
        <v>35</v>
      </c>
      <c r="G5" t="s">
        <v>35</v>
      </c>
      <c r="H5" t="s">
        <v>35</v>
      </c>
      <c r="I5" t="s">
        <v>30</v>
      </c>
      <c r="J5" t="s">
        <v>36</v>
      </c>
      <c r="K5" t="str">
        <f>"42"</f>
        <v>42</v>
      </c>
      <c r="L5" t="str">
        <f>"1"</f>
        <v>1</v>
      </c>
      <c r="M5" t="str">
        <f>"71-453"</f>
        <v>71-453</v>
      </c>
      <c r="N5" t="str">
        <f>"739039809"</f>
        <v>739039809</v>
      </c>
      <c r="O5" t="s">
        <v>37</v>
      </c>
      <c r="P5" t="s">
        <v>24</v>
      </c>
    </row>
    <row r="6" spans="1:16" hidden="1" x14ac:dyDescent="0.25">
      <c r="A6">
        <v>132394</v>
      </c>
      <c r="B6" t="str">
        <f>"365589240"</f>
        <v>365589240</v>
      </c>
      <c r="C6" t="s">
        <v>16</v>
      </c>
      <c r="D6" t="s">
        <v>38</v>
      </c>
      <c r="E6" t="s">
        <v>39</v>
      </c>
      <c r="F6" t="s">
        <v>40</v>
      </c>
      <c r="G6" t="s">
        <v>41</v>
      </c>
      <c r="H6" t="s">
        <v>41</v>
      </c>
      <c r="I6" t="s">
        <v>42</v>
      </c>
      <c r="J6" t="s">
        <v>43</v>
      </c>
      <c r="K6" t="str">
        <f>"20"</f>
        <v>20</v>
      </c>
      <c r="L6" t="str">
        <f>""</f>
        <v/>
      </c>
      <c r="M6" t="str">
        <f>"91-310"</f>
        <v>91-310</v>
      </c>
      <c r="N6" t="str">
        <f>"504072952"</f>
        <v>504072952</v>
      </c>
      <c r="O6" t="s">
        <v>44</v>
      </c>
      <c r="P6" t="s">
        <v>24</v>
      </c>
    </row>
    <row r="7" spans="1:16" hidden="1" x14ac:dyDescent="0.25">
      <c r="A7">
        <v>43333</v>
      </c>
      <c r="B7" t="str">
        <f>"101485350"</f>
        <v>101485350</v>
      </c>
      <c r="C7" t="s">
        <v>16</v>
      </c>
      <c r="D7" t="s">
        <v>45</v>
      </c>
      <c r="E7" t="s">
        <v>39</v>
      </c>
      <c r="F7" t="s">
        <v>40</v>
      </c>
      <c r="G7" t="s">
        <v>41</v>
      </c>
      <c r="H7" t="s">
        <v>41</v>
      </c>
      <c r="I7" t="s">
        <v>42</v>
      </c>
      <c r="J7" t="s">
        <v>46</v>
      </c>
      <c r="K7" t="str">
        <f>"36"</f>
        <v>36</v>
      </c>
      <c r="L7" t="str">
        <f>""</f>
        <v/>
      </c>
      <c r="M7" t="str">
        <f>"91-474"</f>
        <v>91-474</v>
      </c>
      <c r="N7" t="str">
        <f>"605950193"</f>
        <v>605950193</v>
      </c>
      <c r="O7" t="s">
        <v>47</v>
      </c>
      <c r="P7" t="s">
        <v>24</v>
      </c>
    </row>
    <row r="8" spans="1:16" hidden="1" x14ac:dyDescent="0.25">
      <c r="A8">
        <v>131962</v>
      </c>
      <c r="B8" t="str">
        <f>"365394074"</f>
        <v>365394074</v>
      </c>
      <c r="C8" t="s">
        <v>16</v>
      </c>
      <c r="D8" t="s">
        <v>49</v>
      </c>
      <c r="E8" t="s">
        <v>39</v>
      </c>
      <c r="F8" t="s">
        <v>50</v>
      </c>
      <c r="G8" t="s">
        <v>51</v>
      </c>
      <c r="H8" t="s">
        <v>51</v>
      </c>
      <c r="I8" t="s">
        <v>30</v>
      </c>
      <c r="J8" t="s">
        <v>52</v>
      </c>
      <c r="K8" t="str">
        <f>"27d"</f>
        <v>27d</v>
      </c>
      <c r="L8" t="str">
        <f>""</f>
        <v/>
      </c>
      <c r="M8" t="str">
        <f>"98-220"</f>
        <v>98-220</v>
      </c>
      <c r="N8" t="str">
        <f>"693149777"</f>
        <v>693149777</v>
      </c>
      <c r="O8" t="s">
        <v>53</v>
      </c>
      <c r="P8" t="s">
        <v>24</v>
      </c>
    </row>
    <row r="9" spans="1:16" hidden="1" x14ac:dyDescent="0.25">
      <c r="A9">
        <v>35165</v>
      </c>
      <c r="B9" t="str">
        <f>"101483032"</f>
        <v>101483032</v>
      </c>
      <c r="C9" t="s">
        <v>16</v>
      </c>
      <c r="D9" t="s">
        <v>54</v>
      </c>
      <c r="E9" t="s">
        <v>39</v>
      </c>
      <c r="F9" t="s">
        <v>55</v>
      </c>
      <c r="G9" t="s">
        <v>56</v>
      </c>
      <c r="H9" t="s">
        <v>56</v>
      </c>
      <c r="I9" t="s">
        <v>30</v>
      </c>
      <c r="J9" t="s">
        <v>57</v>
      </c>
      <c r="K9" t="str">
        <f>"41"</f>
        <v>41</v>
      </c>
      <c r="L9" t="str">
        <f>""</f>
        <v/>
      </c>
      <c r="M9" t="str">
        <f>"95-040"</f>
        <v>95-040</v>
      </c>
      <c r="N9" t="str">
        <f>"447141419"</f>
        <v>447141419</v>
      </c>
      <c r="O9" t="s">
        <v>58</v>
      </c>
      <c r="P9" t="s">
        <v>24</v>
      </c>
    </row>
    <row r="10" spans="1:16" hidden="1" x14ac:dyDescent="0.25">
      <c r="A10">
        <v>123649</v>
      </c>
      <c r="B10" t="str">
        <f>"123168833"</f>
        <v>123168833</v>
      </c>
      <c r="C10" t="s">
        <v>16</v>
      </c>
      <c r="D10" t="s">
        <v>59</v>
      </c>
      <c r="E10" t="s">
        <v>27</v>
      </c>
      <c r="F10" t="s">
        <v>28</v>
      </c>
      <c r="G10" t="s">
        <v>29</v>
      </c>
      <c r="H10" t="s">
        <v>29</v>
      </c>
      <c r="I10" t="s">
        <v>30</v>
      </c>
      <c r="J10" t="s">
        <v>60</v>
      </c>
      <c r="K10" t="str">
        <f>"33"</f>
        <v>33</v>
      </c>
      <c r="L10" t="str">
        <f>""</f>
        <v/>
      </c>
      <c r="M10" t="str">
        <f>"32-500"</f>
        <v>32-500</v>
      </c>
      <c r="N10" t="str">
        <f>"733400299"</f>
        <v>733400299</v>
      </c>
      <c r="O10" t="s">
        <v>61</v>
      </c>
      <c r="P10" t="s">
        <v>24</v>
      </c>
    </row>
    <row r="11" spans="1:16" hidden="1" x14ac:dyDescent="0.25">
      <c r="A11">
        <v>276342</v>
      </c>
      <c r="B11" t="str">
        <f>"387101681"</f>
        <v>387101681</v>
      </c>
      <c r="C11" t="s">
        <v>16</v>
      </c>
      <c r="D11" t="s">
        <v>63</v>
      </c>
      <c r="E11" t="s">
        <v>64</v>
      </c>
      <c r="F11" t="s">
        <v>65</v>
      </c>
      <c r="G11" t="s">
        <v>66</v>
      </c>
      <c r="H11" t="s">
        <v>67</v>
      </c>
      <c r="I11" t="s">
        <v>68</v>
      </c>
      <c r="J11" t="s">
        <v>69</v>
      </c>
      <c r="K11" t="str">
        <f>"8"</f>
        <v>8</v>
      </c>
      <c r="L11" t="str">
        <f>""</f>
        <v/>
      </c>
      <c r="M11" t="str">
        <f>"55-040"</f>
        <v>55-040</v>
      </c>
      <c r="N11" t="str">
        <f>"730000224"</f>
        <v>730000224</v>
      </c>
      <c r="O11" t="s">
        <v>70</v>
      </c>
      <c r="P11" t="s">
        <v>24</v>
      </c>
    </row>
    <row r="12" spans="1:16" hidden="1" x14ac:dyDescent="0.25">
      <c r="A12">
        <v>133622</v>
      </c>
      <c r="B12" t="str">
        <f>"367498228"</f>
        <v>367498228</v>
      </c>
      <c r="C12" t="s">
        <v>16</v>
      </c>
      <c r="D12" t="s">
        <v>73</v>
      </c>
      <c r="E12" t="s">
        <v>74</v>
      </c>
      <c r="F12" t="s">
        <v>75</v>
      </c>
      <c r="G12" t="s">
        <v>76</v>
      </c>
      <c r="H12" t="s">
        <v>76</v>
      </c>
      <c r="I12" t="s">
        <v>30</v>
      </c>
      <c r="J12" t="s">
        <v>77</v>
      </c>
      <c r="K12" t="str">
        <f>"12"</f>
        <v>12</v>
      </c>
      <c r="L12" t="str">
        <f>""</f>
        <v/>
      </c>
      <c r="M12" t="str">
        <f>"27-400"</f>
        <v>27-400</v>
      </c>
      <c r="N12" t="str">
        <f>"530321866"</f>
        <v>530321866</v>
      </c>
      <c r="O12" t="s">
        <v>78</v>
      </c>
      <c r="P12" t="s">
        <v>24</v>
      </c>
    </row>
    <row r="13" spans="1:16" hidden="1" x14ac:dyDescent="0.25">
      <c r="A13">
        <v>129736</v>
      </c>
      <c r="B13" t="str">
        <f>"362806808"</f>
        <v>362806808</v>
      </c>
      <c r="C13" t="s">
        <v>16</v>
      </c>
      <c r="D13" t="s">
        <v>79</v>
      </c>
      <c r="E13" t="s">
        <v>80</v>
      </c>
      <c r="F13" t="s">
        <v>81</v>
      </c>
      <c r="G13" t="s">
        <v>81</v>
      </c>
      <c r="H13" t="s">
        <v>81</v>
      </c>
      <c r="I13" t="s">
        <v>30</v>
      </c>
      <c r="J13" t="s">
        <v>82</v>
      </c>
      <c r="K13" t="str">
        <f>"30"</f>
        <v>30</v>
      </c>
      <c r="L13" t="str">
        <f>""</f>
        <v/>
      </c>
      <c r="M13" t="str">
        <f>"76-200"</f>
        <v>76-200</v>
      </c>
      <c r="N13" t="str">
        <f>"602397917"</f>
        <v>602397917</v>
      </c>
      <c r="O13" t="s">
        <v>83</v>
      </c>
      <c r="P13" t="s">
        <v>24</v>
      </c>
    </row>
    <row r="14" spans="1:16" hidden="1" x14ac:dyDescent="0.25">
      <c r="A14">
        <v>273242</v>
      </c>
      <c r="B14" t="str">
        <f>"384415462"</f>
        <v>384415462</v>
      </c>
      <c r="C14" t="s">
        <v>16</v>
      </c>
      <c r="D14" t="s">
        <v>84</v>
      </c>
      <c r="E14" t="s">
        <v>18</v>
      </c>
      <c r="F14" t="s">
        <v>85</v>
      </c>
      <c r="G14" t="s">
        <v>85</v>
      </c>
      <c r="H14" t="s">
        <v>85</v>
      </c>
      <c r="I14" t="s">
        <v>30</v>
      </c>
      <c r="J14" t="s">
        <v>86</v>
      </c>
      <c r="K14" t="str">
        <f>"44"</f>
        <v>44</v>
      </c>
      <c r="L14" t="str">
        <f>""</f>
        <v/>
      </c>
      <c r="M14" t="str">
        <f>"07-410"</f>
        <v>07-410</v>
      </c>
      <c r="N14" t="str">
        <f>"297691526"</f>
        <v>297691526</v>
      </c>
      <c r="O14" t="s">
        <v>87</v>
      </c>
      <c r="P14" t="s">
        <v>24</v>
      </c>
    </row>
    <row r="15" spans="1:16" hidden="1" x14ac:dyDescent="0.25">
      <c r="A15">
        <v>127066</v>
      </c>
      <c r="B15" t="str">
        <f>"361084974"</f>
        <v>361084974</v>
      </c>
      <c r="C15" t="s">
        <v>16</v>
      </c>
      <c r="D15" t="s">
        <v>88</v>
      </c>
      <c r="E15" t="s">
        <v>18</v>
      </c>
      <c r="F15" t="s">
        <v>19</v>
      </c>
      <c r="G15" t="s">
        <v>89</v>
      </c>
      <c r="H15" t="s">
        <v>89</v>
      </c>
      <c r="I15" t="s">
        <v>21</v>
      </c>
      <c r="J15" t="s">
        <v>90</v>
      </c>
      <c r="K15" t="str">
        <f>"3"</f>
        <v>3</v>
      </c>
      <c r="L15" t="str">
        <f>"13"</f>
        <v>13</v>
      </c>
      <c r="M15" t="str">
        <f>"02-495"</f>
        <v>02-495</v>
      </c>
      <c r="N15" t="str">
        <f>"600215270"</f>
        <v>600215270</v>
      </c>
      <c r="O15" t="s">
        <v>91</v>
      </c>
      <c r="P15" t="s">
        <v>24</v>
      </c>
    </row>
    <row r="16" spans="1:16" hidden="1" x14ac:dyDescent="0.25">
      <c r="A16">
        <v>125142</v>
      </c>
      <c r="B16" t="str">
        <f>"147428089"</f>
        <v>147428089</v>
      </c>
      <c r="C16" t="s">
        <v>16</v>
      </c>
      <c r="D16" t="s">
        <v>92</v>
      </c>
      <c r="E16" t="s">
        <v>18</v>
      </c>
      <c r="F16" t="s">
        <v>19</v>
      </c>
      <c r="G16" t="s">
        <v>93</v>
      </c>
      <c r="H16" t="s">
        <v>93</v>
      </c>
      <c r="I16" t="s">
        <v>21</v>
      </c>
      <c r="J16" t="s">
        <v>94</v>
      </c>
      <c r="K16" t="str">
        <f>"6"</f>
        <v>6</v>
      </c>
      <c r="L16" t="str">
        <f>"U3"</f>
        <v>U3</v>
      </c>
      <c r="M16" t="str">
        <f>"01-892"</f>
        <v>01-892</v>
      </c>
      <c r="N16" t="str">
        <f>"781887880"</f>
        <v>781887880</v>
      </c>
      <c r="O16" t="s">
        <v>95</v>
      </c>
      <c r="P16" t="s">
        <v>24</v>
      </c>
    </row>
    <row r="17" spans="1:16" hidden="1" x14ac:dyDescent="0.25">
      <c r="A17">
        <v>130116</v>
      </c>
      <c r="B17" t="str">
        <f>"363503837"</f>
        <v>363503837</v>
      </c>
      <c r="C17" t="s">
        <v>16</v>
      </c>
      <c r="D17" t="s">
        <v>96</v>
      </c>
      <c r="E17" t="s">
        <v>97</v>
      </c>
      <c r="F17" t="s">
        <v>98</v>
      </c>
      <c r="G17" t="s">
        <v>98</v>
      </c>
      <c r="H17" t="s">
        <v>98</v>
      </c>
      <c r="I17" t="s">
        <v>30</v>
      </c>
      <c r="J17" t="s">
        <v>99</v>
      </c>
      <c r="K17" t="str">
        <f>"3"</f>
        <v>3</v>
      </c>
      <c r="L17" t="str">
        <f>""</f>
        <v/>
      </c>
      <c r="M17" t="str">
        <f>"15-013"</f>
        <v>15-013</v>
      </c>
      <c r="N17" t="str">
        <f>"531535399"</f>
        <v>531535399</v>
      </c>
      <c r="P17" t="s">
        <v>24</v>
      </c>
    </row>
    <row r="18" spans="1:16" hidden="1" x14ac:dyDescent="0.25">
      <c r="A18">
        <v>129126</v>
      </c>
      <c r="B18" t="str">
        <f>"362481536"</f>
        <v>362481536</v>
      </c>
      <c r="C18" t="s">
        <v>16</v>
      </c>
      <c r="D18" t="s">
        <v>100</v>
      </c>
      <c r="E18" t="s">
        <v>101</v>
      </c>
      <c r="F18" t="s">
        <v>102</v>
      </c>
      <c r="G18" t="s">
        <v>102</v>
      </c>
      <c r="H18" t="s">
        <v>102</v>
      </c>
      <c r="I18" t="s">
        <v>30</v>
      </c>
      <c r="J18" t="s">
        <v>103</v>
      </c>
      <c r="K18" t="str">
        <f>"11"</f>
        <v>11</v>
      </c>
      <c r="L18" t="str">
        <f>""</f>
        <v/>
      </c>
      <c r="M18" t="str">
        <f>"35-308"</f>
        <v>35-308</v>
      </c>
      <c r="N18" t="str">
        <f>"506088908"</f>
        <v>506088908</v>
      </c>
      <c r="O18" t="s">
        <v>104</v>
      </c>
      <c r="P18" t="s">
        <v>24</v>
      </c>
    </row>
    <row r="19" spans="1:16" hidden="1" x14ac:dyDescent="0.25">
      <c r="A19">
        <v>270471</v>
      </c>
      <c r="B19" t="str">
        <f>"382609216"</f>
        <v>382609216</v>
      </c>
      <c r="C19" t="s">
        <v>16</v>
      </c>
      <c r="D19" t="s">
        <v>105</v>
      </c>
      <c r="E19" t="s">
        <v>18</v>
      </c>
      <c r="F19" t="s">
        <v>106</v>
      </c>
      <c r="G19" t="s">
        <v>107</v>
      </c>
      <c r="H19" t="s">
        <v>108</v>
      </c>
      <c r="I19" t="s">
        <v>68</v>
      </c>
      <c r="J19" t="s">
        <v>109</v>
      </c>
      <c r="K19" t="str">
        <f>"3"</f>
        <v>3</v>
      </c>
      <c r="L19" t="str">
        <f>""</f>
        <v/>
      </c>
      <c r="M19" t="str">
        <f>"05-509"</f>
        <v>05-509</v>
      </c>
      <c r="N19" t="str">
        <f>"796741012"</f>
        <v>796741012</v>
      </c>
      <c r="O19" t="s">
        <v>110</v>
      </c>
      <c r="P19" t="s">
        <v>24</v>
      </c>
    </row>
    <row r="20" spans="1:16" hidden="1" x14ac:dyDescent="0.25">
      <c r="A20">
        <v>274231</v>
      </c>
      <c r="B20" t="str">
        <f>"385454990"</f>
        <v>385454990</v>
      </c>
      <c r="C20" t="s">
        <v>16</v>
      </c>
      <c r="D20" t="s">
        <v>111</v>
      </c>
      <c r="E20" t="s">
        <v>112</v>
      </c>
      <c r="F20" t="s">
        <v>113</v>
      </c>
      <c r="G20" t="s">
        <v>113</v>
      </c>
      <c r="H20" t="s">
        <v>113</v>
      </c>
      <c r="I20" t="s">
        <v>30</v>
      </c>
      <c r="J20" t="s">
        <v>114</v>
      </c>
      <c r="K20" t="str">
        <f>"24"</f>
        <v>24</v>
      </c>
      <c r="L20" t="str">
        <f>""</f>
        <v/>
      </c>
      <c r="M20" t="str">
        <f>"20-570"</f>
        <v>20-570</v>
      </c>
      <c r="N20" t="str">
        <f>"782510700"</f>
        <v>782510700</v>
      </c>
      <c r="O20" t="s">
        <v>115</v>
      </c>
      <c r="P20" t="s">
        <v>24</v>
      </c>
    </row>
    <row r="21" spans="1:16" x14ac:dyDescent="0.25">
      <c r="A21" s="2">
        <v>57752</v>
      </c>
      <c r="B21" s="2" t="str">
        <f>"150183487"</f>
        <v>150183487</v>
      </c>
      <c r="C21" s="2" t="s">
        <v>25</v>
      </c>
      <c r="D21" s="2" t="s">
        <v>116</v>
      </c>
      <c r="E21" s="2" t="s">
        <v>117</v>
      </c>
      <c r="F21" s="2" t="s">
        <v>118</v>
      </c>
      <c r="G21" s="2" t="s">
        <v>118</v>
      </c>
      <c r="H21" s="2" t="s">
        <v>118</v>
      </c>
      <c r="I21" s="2" t="s">
        <v>30</v>
      </c>
      <c r="J21" s="2" t="s">
        <v>119</v>
      </c>
      <c r="K21" s="2" t="str">
        <f>"93B"</f>
        <v>93B</v>
      </c>
      <c r="L21" s="2" t="str">
        <f>""</f>
        <v/>
      </c>
      <c r="M21" s="2" t="str">
        <f>"42-202"</f>
        <v>42-202</v>
      </c>
      <c r="N21" s="2" t="str">
        <f>"343619392"</f>
        <v>343619392</v>
      </c>
      <c r="O21" s="2" t="s">
        <v>120</v>
      </c>
      <c r="P21" s="2" t="s">
        <v>121</v>
      </c>
    </row>
    <row r="22" spans="1:16" hidden="1" x14ac:dyDescent="0.25">
      <c r="A22">
        <v>127605</v>
      </c>
      <c r="B22" t="str">
        <f>"361770936"</f>
        <v>361770936</v>
      </c>
      <c r="C22" t="s">
        <v>16</v>
      </c>
      <c r="D22" t="s">
        <v>122</v>
      </c>
      <c r="E22" t="s">
        <v>27</v>
      </c>
      <c r="F22" t="s">
        <v>123</v>
      </c>
      <c r="G22" t="s">
        <v>124</v>
      </c>
      <c r="H22" t="s">
        <v>124</v>
      </c>
      <c r="I22" t="s">
        <v>42</v>
      </c>
      <c r="J22" t="s">
        <v>125</v>
      </c>
      <c r="K22" t="str">
        <f>"9"</f>
        <v>9</v>
      </c>
      <c r="L22" t="str">
        <f>""</f>
        <v/>
      </c>
      <c r="M22" t="str">
        <f>"30-349"</f>
        <v>30-349</v>
      </c>
      <c r="N22" t="str">
        <f>"124313585"</f>
        <v>124313585</v>
      </c>
      <c r="O22" t="s">
        <v>126</v>
      </c>
      <c r="P22" t="s">
        <v>24</v>
      </c>
    </row>
    <row r="23" spans="1:16" hidden="1" x14ac:dyDescent="0.25">
      <c r="A23">
        <v>129427</v>
      </c>
      <c r="B23" t="str">
        <f>"362604520"</f>
        <v>362604520</v>
      </c>
      <c r="C23" t="s">
        <v>16</v>
      </c>
      <c r="D23" t="s">
        <v>127</v>
      </c>
      <c r="E23" t="s">
        <v>39</v>
      </c>
      <c r="F23" t="s">
        <v>40</v>
      </c>
      <c r="G23" t="s">
        <v>41</v>
      </c>
      <c r="H23" t="s">
        <v>41</v>
      </c>
      <c r="I23" t="s">
        <v>42</v>
      </c>
      <c r="J23" t="s">
        <v>128</v>
      </c>
      <c r="K23" t="str">
        <f>"5/7"</f>
        <v>5/7</v>
      </c>
      <c r="L23" t="str">
        <f>""</f>
        <v/>
      </c>
      <c r="M23" t="str">
        <f>"91-038"</f>
        <v>91-038</v>
      </c>
      <c r="N23" t="str">
        <f>"600872555"</f>
        <v>600872555</v>
      </c>
      <c r="O23" t="s">
        <v>129</v>
      </c>
      <c r="P23" t="s">
        <v>24</v>
      </c>
    </row>
    <row r="24" spans="1:16" hidden="1" x14ac:dyDescent="0.25">
      <c r="A24">
        <v>108974</v>
      </c>
      <c r="B24" t="str">
        <f>"061515870"</f>
        <v>061515870</v>
      </c>
      <c r="C24" t="s">
        <v>16</v>
      </c>
      <c r="D24" t="s">
        <v>130</v>
      </c>
      <c r="E24" t="s">
        <v>112</v>
      </c>
      <c r="F24" t="s">
        <v>113</v>
      </c>
      <c r="G24" t="s">
        <v>113</v>
      </c>
      <c r="H24" t="s">
        <v>113</v>
      </c>
      <c r="I24" t="s">
        <v>30</v>
      </c>
      <c r="J24" t="s">
        <v>131</v>
      </c>
      <c r="K24" t="str">
        <f>"5"</f>
        <v>5</v>
      </c>
      <c r="L24" t="str">
        <f>"14,18"</f>
        <v>14,18</v>
      </c>
      <c r="M24" t="str">
        <f>"20-022"</f>
        <v>20-022</v>
      </c>
      <c r="N24" t="str">
        <f>"887648532"</f>
        <v>887648532</v>
      </c>
      <c r="O24" t="s">
        <v>132</v>
      </c>
      <c r="P24" t="s">
        <v>24</v>
      </c>
    </row>
    <row r="25" spans="1:16" hidden="1" x14ac:dyDescent="0.25">
      <c r="A25">
        <v>64760</v>
      </c>
      <c r="B25" t="str">
        <f>"611399408"</f>
        <v>611399408</v>
      </c>
      <c r="C25" t="s">
        <v>16</v>
      </c>
      <c r="D25" t="s">
        <v>133</v>
      </c>
      <c r="E25" t="s">
        <v>18</v>
      </c>
      <c r="F25" t="s">
        <v>134</v>
      </c>
      <c r="G25" t="s">
        <v>134</v>
      </c>
      <c r="H25" t="s">
        <v>134</v>
      </c>
      <c r="I25" t="s">
        <v>30</v>
      </c>
      <c r="J25" t="s">
        <v>135</v>
      </c>
      <c r="K25" t="str">
        <f>"21A"</f>
        <v>21A</v>
      </c>
      <c r="L25" t="str">
        <f>""</f>
        <v/>
      </c>
      <c r="M25" t="str">
        <f>"09-400"</f>
        <v>09-400</v>
      </c>
      <c r="N25" t="str">
        <f>"513107753"</f>
        <v>513107753</v>
      </c>
      <c r="O25" t="s">
        <v>136</v>
      </c>
      <c r="P25" t="s">
        <v>24</v>
      </c>
    </row>
    <row r="26" spans="1:16" x14ac:dyDescent="0.25">
      <c r="A26" s="2">
        <v>4872</v>
      </c>
      <c r="B26" s="2" t="str">
        <f>"000703109"</f>
        <v>000703109</v>
      </c>
      <c r="C26" s="2" t="s">
        <v>16</v>
      </c>
      <c r="D26" s="2" t="s">
        <v>137</v>
      </c>
      <c r="E26" s="2" t="s">
        <v>34</v>
      </c>
      <c r="F26" s="2" t="s">
        <v>35</v>
      </c>
      <c r="G26" s="2" t="s">
        <v>35</v>
      </c>
      <c r="H26" s="2" t="s">
        <v>35</v>
      </c>
      <c r="I26" s="2" t="s">
        <v>30</v>
      </c>
      <c r="J26" s="2" t="s">
        <v>138</v>
      </c>
      <c r="K26" s="2" t="str">
        <f>"23"</f>
        <v>23</v>
      </c>
      <c r="L26" s="2" t="str">
        <f>""</f>
        <v/>
      </c>
      <c r="M26" s="2" t="str">
        <f>"70-383"</f>
        <v>70-383</v>
      </c>
      <c r="N26" s="2" t="str">
        <f>"915065460"</f>
        <v>915065460</v>
      </c>
      <c r="O26" s="2" t="s">
        <v>139</v>
      </c>
      <c r="P26" s="2" t="s">
        <v>121</v>
      </c>
    </row>
    <row r="27" spans="1:16" hidden="1" x14ac:dyDescent="0.25">
      <c r="A27">
        <v>278874</v>
      </c>
      <c r="B27" t="str">
        <f>"520133129"</f>
        <v>520133129</v>
      </c>
      <c r="C27" t="s">
        <v>16</v>
      </c>
      <c r="D27" t="s">
        <v>140</v>
      </c>
      <c r="E27" t="s">
        <v>27</v>
      </c>
      <c r="F27" t="s">
        <v>123</v>
      </c>
      <c r="G27" t="s">
        <v>141</v>
      </c>
      <c r="H27" t="s">
        <v>141</v>
      </c>
      <c r="I27" t="s">
        <v>42</v>
      </c>
      <c r="J27" t="s">
        <v>142</v>
      </c>
      <c r="K27" t="str">
        <f>"73"</f>
        <v>73</v>
      </c>
      <c r="L27" t="str">
        <f>""</f>
        <v/>
      </c>
      <c r="M27" t="str">
        <f>"30-091"</f>
        <v>30-091</v>
      </c>
      <c r="N27" t="str">
        <f>"723005123"</f>
        <v>723005123</v>
      </c>
      <c r="O27" t="s">
        <v>143</v>
      </c>
      <c r="P27" t="s">
        <v>24</v>
      </c>
    </row>
    <row r="28" spans="1:16" hidden="1" x14ac:dyDescent="0.25">
      <c r="A28">
        <v>22886</v>
      </c>
      <c r="B28" t="str">
        <f>"221752980"</f>
        <v>221752980</v>
      </c>
      <c r="C28" t="s">
        <v>16</v>
      </c>
      <c r="D28" t="s">
        <v>144</v>
      </c>
      <c r="E28" t="s">
        <v>80</v>
      </c>
      <c r="F28" t="s">
        <v>145</v>
      </c>
      <c r="G28" t="s">
        <v>146</v>
      </c>
      <c r="H28" t="s">
        <v>146</v>
      </c>
      <c r="I28" t="s">
        <v>30</v>
      </c>
      <c r="J28" t="s">
        <v>99</v>
      </c>
      <c r="K28" t="str">
        <f>"221"</f>
        <v>221</v>
      </c>
      <c r="L28" t="str">
        <f>"3"</f>
        <v>3</v>
      </c>
      <c r="M28" t="str">
        <f>"84-200"</f>
        <v>84-200</v>
      </c>
      <c r="N28" t="str">
        <f>"723002004"</f>
        <v>723002004</v>
      </c>
      <c r="O28" t="s">
        <v>147</v>
      </c>
      <c r="P28" t="s">
        <v>24</v>
      </c>
    </row>
    <row r="29" spans="1:16" hidden="1" x14ac:dyDescent="0.25">
      <c r="A29">
        <v>270089</v>
      </c>
      <c r="B29" t="str">
        <f>"382014380"</f>
        <v>382014380</v>
      </c>
      <c r="C29" t="s">
        <v>16</v>
      </c>
      <c r="D29" t="s">
        <v>148</v>
      </c>
      <c r="E29" t="s">
        <v>18</v>
      </c>
      <c r="F29" t="s">
        <v>19</v>
      </c>
      <c r="G29" t="s">
        <v>149</v>
      </c>
      <c r="H29" t="s">
        <v>149</v>
      </c>
      <c r="I29" t="s">
        <v>21</v>
      </c>
      <c r="J29" t="s">
        <v>150</v>
      </c>
      <c r="K29" t="str">
        <f>"9"</f>
        <v>9</v>
      </c>
      <c r="L29" t="str">
        <f>"tu3"</f>
        <v>tu3</v>
      </c>
      <c r="M29" t="str">
        <f>"03-287"</f>
        <v>03-287</v>
      </c>
      <c r="N29" t="str">
        <f>"517663334"</f>
        <v>517663334</v>
      </c>
      <c r="O29" t="s">
        <v>151</v>
      </c>
      <c r="P29" t="s">
        <v>24</v>
      </c>
    </row>
    <row r="30" spans="1:16" hidden="1" x14ac:dyDescent="0.25">
      <c r="A30">
        <v>123034</v>
      </c>
      <c r="B30" t="str">
        <f>"147237685"</f>
        <v>147237685</v>
      </c>
      <c r="C30" t="s">
        <v>16</v>
      </c>
      <c r="D30" t="s">
        <v>152</v>
      </c>
      <c r="E30" t="s">
        <v>18</v>
      </c>
      <c r="F30" t="s">
        <v>19</v>
      </c>
      <c r="G30" t="s">
        <v>20</v>
      </c>
      <c r="H30" t="s">
        <v>20</v>
      </c>
      <c r="I30" t="s">
        <v>21</v>
      </c>
      <c r="J30" t="s">
        <v>153</v>
      </c>
      <c r="K30" t="str">
        <f>"15"</f>
        <v>15</v>
      </c>
      <c r="L30" t="str">
        <f>"85"</f>
        <v>85</v>
      </c>
      <c r="M30" t="str">
        <f>"02-791"</f>
        <v>02-791</v>
      </c>
      <c r="N30" t="str">
        <f>"600451015"</f>
        <v>600451015</v>
      </c>
      <c r="O30" t="s">
        <v>154</v>
      </c>
      <c r="P30" t="s">
        <v>24</v>
      </c>
    </row>
    <row r="31" spans="1:16" hidden="1" x14ac:dyDescent="0.25">
      <c r="A31">
        <v>31381</v>
      </c>
      <c r="B31" t="str">
        <f>"302245452"</f>
        <v>302245452</v>
      </c>
      <c r="C31" t="s">
        <v>16</v>
      </c>
      <c r="D31" t="s">
        <v>156</v>
      </c>
      <c r="E31" t="s">
        <v>157</v>
      </c>
      <c r="F31" t="s">
        <v>158</v>
      </c>
      <c r="G31" t="s">
        <v>159</v>
      </c>
      <c r="H31" t="s">
        <v>159</v>
      </c>
      <c r="I31" t="s">
        <v>42</v>
      </c>
      <c r="J31" t="s">
        <v>160</v>
      </c>
      <c r="K31" t="str">
        <f>"14"</f>
        <v>14</v>
      </c>
      <c r="L31" t="str">
        <f>""</f>
        <v/>
      </c>
      <c r="M31" t="str">
        <f>"60-545"</f>
        <v>60-545</v>
      </c>
      <c r="N31" t="str">
        <f>"618489950"</f>
        <v>618489950</v>
      </c>
      <c r="O31" t="s">
        <v>161</v>
      </c>
      <c r="P31" t="s">
        <v>24</v>
      </c>
    </row>
    <row r="32" spans="1:16" hidden="1" x14ac:dyDescent="0.25">
      <c r="A32">
        <v>264302</v>
      </c>
      <c r="B32" t="str">
        <f>"368306308"</f>
        <v>368306308</v>
      </c>
      <c r="C32" t="s">
        <v>16</v>
      </c>
      <c r="D32" t="s">
        <v>163</v>
      </c>
      <c r="E32" t="s">
        <v>117</v>
      </c>
      <c r="F32" t="s">
        <v>164</v>
      </c>
      <c r="G32" t="s">
        <v>165</v>
      </c>
      <c r="H32" t="s">
        <v>165</v>
      </c>
      <c r="I32" t="s">
        <v>30</v>
      </c>
      <c r="J32" t="s">
        <v>166</v>
      </c>
      <c r="K32" t="str">
        <f>"48"</f>
        <v>48</v>
      </c>
      <c r="L32" t="str">
        <f>""</f>
        <v/>
      </c>
      <c r="M32" t="str">
        <f>"43-502"</f>
        <v>43-502</v>
      </c>
      <c r="N32" t="str">
        <f>"790650333"</f>
        <v>790650333</v>
      </c>
      <c r="O32" t="s">
        <v>167</v>
      </c>
      <c r="P32" t="s">
        <v>24</v>
      </c>
    </row>
    <row r="33" spans="1:16" hidden="1" x14ac:dyDescent="0.25">
      <c r="A33">
        <v>119405</v>
      </c>
      <c r="B33" t="str">
        <f>"200805170"</f>
        <v>200805170</v>
      </c>
      <c r="C33" t="s">
        <v>16</v>
      </c>
      <c r="D33" t="s">
        <v>169</v>
      </c>
      <c r="E33" t="s">
        <v>97</v>
      </c>
      <c r="F33" t="s">
        <v>170</v>
      </c>
      <c r="G33" t="s">
        <v>170</v>
      </c>
      <c r="H33" t="s">
        <v>170</v>
      </c>
      <c r="I33" t="s">
        <v>30</v>
      </c>
      <c r="J33" t="s">
        <v>171</v>
      </c>
      <c r="K33" t="str">
        <f>"4"</f>
        <v>4</v>
      </c>
      <c r="L33" t="str">
        <f>""</f>
        <v/>
      </c>
      <c r="M33" t="str">
        <f>"16-400"</f>
        <v>16-400</v>
      </c>
      <c r="N33" t="str">
        <f>"502374451"</f>
        <v>502374451</v>
      </c>
      <c r="O33" t="s">
        <v>172</v>
      </c>
      <c r="P33" t="s">
        <v>24</v>
      </c>
    </row>
    <row r="34" spans="1:16" hidden="1" x14ac:dyDescent="0.25">
      <c r="A34">
        <v>111192</v>
      </c>
      <c r="B34" t="str">
        <f>"122802009"</f>
        <v>122802009</v>
      </c>
      <c r="C34" t="s">
        <v>16</v>
      </c>
      <c r="D34" t="s">
        <v>173</v>
      </c>
      <c r="E34" t="s">
        <v>27</v>
      </c>
      <c r="F34" t="s">
        <v>28</v>
      </c>
      <c r="G34" t="s">
        <v>29</v>
      </c>
      <c r="H34" t="s">
        <v>29</v>
      </c>
      <c r="I34" t="s">
        <v>30</v>
      </c>
      <c r="J34" t="s">
        <v>174</v>
      </c>
      <c r="K34" t="str">
        <f>"1z"</f>
        <v>1z</v>
      </c>
      <c r="L34" t="str">
        <f>""</f>
        <v/>
      </c>
      <c r="M34" t="str">
        <f>"32-500"</f>
        <v>32-500</v>
      </c>
      <c r="N34" t="str">
        <f>"609773484"</f>
        <v>609773484</v>
      </c>
      <c r="O34" t="s">
        <v>175</v>
      </c>
      <c r="P34" t="s">
        <v>24</v>
      </c>
    </row>
    <row r="35" spans="1:16" hidden="1" x14ac:dyDescent="0.25">
      <c r="A35">
        <v>276838</v>
      </c>
      <c r="B35" t="str">
        <f>"387676690"</f>
        <v>387676690</v>
      </c>
      <c r="C35" t="s">
        <v>16</v>
      </c>
      <c r="D35" t="s">
        <v>176</v>
      </c>
      <c r="E35" t="s">
        <v>117</v>
      </c>
      <c r="F35" t="s">
        <v>177</v>
      </c>
      <c r="G35" t="s">
        <v>178</v>
      </c>
      <c r="H35" t="s">
        <v>178</v>
      </c>
      <c r="I35" t="s">
        <v>30</v>
      </c>
      <c r="J35" t="s">
        <v>179</v>
      </c>
      <c r="K35" t="str">
        <f>"16"</f>
        <v>16</v>
      </c>
      <c r="L35" t="str">
        <f>""</f>
        <v/>
      </c>
      <c r="M35" t="str">
        <f>"43-430"</f>
        <v>43-430</v>
      </c>
      <c r="N35" t="str">
        <f>"880559109"</f>
        <v>880559109</v>
      </c>
      <c r="P35" t="s">
        <v>24</v>
      </c>
    </row>
    <row r="36" spans="1:16" hidden="1" x14ac:dyDescent="0.25">
      <c r="A36">
        <v>272148</v>
      </c>
      <c r="B36" t="str">
        <f>"383961286"</f>
        <v>383961286</v>
      </c>
      <c r="C36" t="s">
        <v>16</v>
      </c>
      <c r="D36" t="s">
        <v>180</v>
      </c>
      <c r="E36" t="s">
        <v>181</v>
      </c>
      <c r="F36" t="s">
        <v>182</v>
      </c>
      <c r="G36" t="s">
        <v>183</v>
      </c>
      <c r="H36" t="s">
        <v>183</v>
      </c>
      <c r="I36" t="s">
        <v>30</v>
      </c>
      <c r="J36" t="s">
        <v>184</v>
      </c>
      <c r="K36" t="str">
        <f>"79"</f>
        <v>79</v>
      </c>
      <c r="L36" t="str">
        <f>""</f>
        <v/>
      </c>
      <c r="M36" t="str">
        <f>"88-100"</f>
        <v>88-100</v>
      </c>
      <c r="N36" t="str">
        <f>"602501498"</f>
        <v>602501498</v>
      </c>
      <c r="O36" t="s">
        <v>185</v>
      </c>
      <c r="P36" t="s">
        <v>24</v>
      </c>
    </row>
    <row r="37" spans="1:16" hidden="1" x14ac:dyDescent="0.25">
      <c r="A37">
        <v>132475</v>
      </c>
      <c r="B37" t="str">
        <f>"365652139"</f>
        <v>365652139</v>
      </c>
      <c r="C37" t="s">
        <v>16</v>
      </c>
      <c r="D37" t="s">
        <v>186</v>
      </c>
      <c r="E37" t="s">
        <v>27</v>
      </c>
      <c r="F37" t="s">
        <v>187</v>
      </c>
      <c r="G37" t="s">
        <v>187</v>
      </c>
      <c r="H37" t="s">
        <v>187</v>
      </c>
      <c r="I37" t="s">
        <v>30</v>
      </c>
      <c r="J37" t="s">
        <v>188</v>
      </c>
      <c r="K37" t="str">
        <f>"35-37"</f>
        <v>35-37</v>
      </c>
      <c r="L37" t="str">
        <f>""</f>
        <v/>
      </c>
      <c r="M37" t="str">
        <f>"33-100"</f>
        <v>33-100</v>
      </c>
      <c r="N37" t="str">
        <f>"880274275"</f>
        <v>880274275</v>
      </c>
      <c r="O37" t="s">
        <v>189</v>
      </c>
      <c r="P37" t="s">
        <v>24</v>
      </c>
    </row>
    <row r="38" spans="1:16" hidden="1" x14ac:dyDescent="0.25">
      <c r="A38">
        <v>481334</v>
      </c>
      <c r="B38" t="str">
        <f>"526909335"</f>
        <v>526909335</v>
      </c>
      <c r="C38" t="s">
        <v>16</v>
      </c>
      <c r="D38" t="s">
        <v>191</v>
      </c>
      <c r="E38" t="s">
        <v>64</v>
      </c>
      <c r="F38" t="s">
        <v>65</v>
      </c>
      <c r="G38" t="s">
        <v>192</v>
      </c>
      <c r="H38" t="s">
        <v>192</v>
      </c>
      <c r="I38" t="s">
        <v>30</v>
      </c>
      <c r="J38" t="s">
        <v>193</v>
      </c>
      <c r="K38" t="str">
        <f>"2D"</f>
        <v>2D</v>
      </c>
      <c r="L38" t="str">
        <f>""</f>
        <v/>
      </c>
      <c r="M38" t="str">
        <f>"55-050"</f>
        <v>55-050</v>
      </c>
      <c r="N38" t="str">
        <f>"535298951"</f>
        <v>535298951</v>
      </c>
      <c r="O38" t="s">
        <v>194</v>
      </c>
      <c r="P38" t="s">
        <v>24</v>
      </c>
    </row>
    <row r="39" spans="1:16" hidden="1" x14ac:dyDescent="0.25">
      <c r="A39">
        <v>276536</v>
      </c>
      <c r="B39" t="str">
        <f>"387189894"</f>
        <v>387189894</v>
      </c>
      <c r="C39" t="s">
        <v>25</v>
      </c>
      <c r="D39" t="s">
        <v>195</v>
      </c>
      <c r="E39" t="s">
        <v>27</v>
      </c>
      <c r="F39" t="s">
        <v>196</v>
      </c>
      <c r="G39" t="s">
        <v>196</v>
      </c>
      <c r="H39" t="s">
        <v>196</v>
      </c>
      <c r="I39" t="s">
        <v>30</v>
      </c>
      <c r="J39" t="s">
        <v>197</v>
      </c>
      <c r="K39" t="str">
        <f>"6"</f>
        <v>6</v>
      </c>
      <c r="L39" t="str">
        <f>""</f>
        <v/>
      </c>
      <c r="M39" t="str">
        <f>"33-300"</f>
        <v>33-300</v>
      </c>
      <c r="N39" t="str">
        <f>"538301145"</f>
        <v>538301145</v>
      </c>
      <c r="O39" t="s">
        <v>198</v>
      </c>
      <c r="P39" t="s">
        <v>24</v>
      </c>
    </row>
    <row r="40" spans="1:16" hidden="1" x14ac:dyDescent="0.25">
      <c r="A40">
        <v>279319</v>
      </c>
      <c r="B40" t="str">
        <f>"521209768"</f>
        <v>521209768</v>
      </c>
      <c r="C40" t="s">
        <v>16</v>
      </c>
      <c r="D40" t="s">
        <v>199</v>
      </c>
      <c r="E40" t="s">
        <v>27</v>
      </c>
      <c r="F40" t="s">
        <v>200</v>
      </c>
      <c r="G40" t="s">
        <v>201</v>
      </c>
      <c r="H40" t="s">
        <v>201</v>
      </c>
      <c r="I40" t="s">
        <v>30</v>
      </c>
      <c r="J40" t="s">
        <v>202</v>
      </c>
      <c r="K40" t="str">
        <f>"1"</f>
        <v>1</v>
      </c>
      <c r="L40" t="str">
        <f>""</f>
        <v/>
      </c>
      <c r="M40" t="str">
        <f>"32-840"</f>
        <v>32-840</v>
      </c>
      <c r="N40" t="str">
        <f>"663992640"</f>
        <v>663992640</v>
      </c>
      <c r="O40" t="s">
        <v>203</v>
      </c>
      <c r="P40" t="s">
        <v>24</v>
      </c>
    </row>
    <row r="41" spans="1:16" hidden="1" x14ac:dyDescent="0.25">
      <c r="A41">
        <v>43334</v>
      </c>
      <c r="B41" t="str">
        <f>"101485373"</f>
        <v>101485373</v>
      </c>
      <c r="C41" t="s">
        <v>16</v>
      </c>
      <c r="D41" t="s">
        <v>204</v>
      </c>
      <c r="E41" t="s">
        <v>39</v>
      </c>
      <c r="F41" t="s">
        <v>40</v>
      </c>
      <c r="G41" t="s">
        <v>41</v>
      </c>
      <c r="H41" t="s">
        <v>41</v>
      </c>
      <c r="I41" t="s">
        <v>42</v>
      </c>
      <c r="J41" t="s">
        <v>205</v>
      </c>
      <c r="K41" t="str">
        <f>"7a-e"</f>
        <v>7a-e</v>
      </c>
      <c r="L41" t="str">
        <f>""</f>
        <v/>
      </c>
      <c r="M41" t="str">
        <f>"91-055"</f>
        <v>91-055</v>
      </c>
      <c r="N41" t="str">
        <f>"426548456"</f>
        <v>426548456</v>
      </c>
      <c r="O41" t="s">
        <v>206</v>
      </c>
      <c r="P41" t="s">
        <v>24</v>
      </c>
    </row>
    <row r="42" spans="1:16" hidden="1" x14ac:dyDescent="0.25">
      <c r="A42">
        <v>131241</v>
      </c>
      <c r="B42" t="str">
        <f>"365082630"</f>
        <v>365082630</v>
      </c>
      <c r="C42" t="s">
        <v>16</v>
      </c>
      <c r="D42" t="s">
        <v>207</v>
      </c>
      <c r="E42" t="s">
        <v>64</v>
      </c>
      <c r="F42" t="s">
        <v>208</v>
      </c>
      <c r="G42" t="s">
        <v>209</v>
      </c>
      <c r="H42" t="s">
        <v>209</v>
      </c>
      <c r="I42" t="s">
        <v>30</v>
      </c>
      <c r="J42" t="s">
        <v>210</v>
      </c>
      <c r="K42" t="str">
        <f>"9"</f>
        <v>9</v>
      </c>
      <c r="L42" t="str">
        <f>""</f>
        <v/>
      </c>
      <c r="M42" t="str">
        <f>"59-300"</f>
        <v>59-300</v>
      </c>
      <c r="N42" t="str">
        <f>"691737710"</f>
        <v>691737710</v>
      </c>
      <c r="O42" t="s">
        <v>211</v>
      </c>
      <c r="P42" t="s">
        <v>24</v>
      </c>
    </row>
    <row r="43" spans="1:16" hidden="1" x14ac:dyDescent="0.25">
      <c r="A43">
        <v>273465</v>
      </c>
      <c r="B43" t="str">
        <f>"384474499"</f>
        <v>384474499</v>
      </c>
      <c r="C43" t="s">
        <v>16</v>
      </c>
      <c r="D43" t="s">
        <v>212</v>
      </c>
      <c r="E43" t="s">
        <v>117</v>
      </c>
      <c r="F43" t="s">
        <v>213</v>
      </c>
      <c r="G43" t="s">
        <v>213</v>
      </c>
      <c r="H43" t="s">
        <v>213</v>
      </c>
      <c r="I43" t="s">
        <v>30</v>
      </c>
      <c r="J43" t="s">
        <v>214</v>
      </c>
      <c r="K43" t="str">
        <f>"44a"</f>
        <v>44a</v>
      </c>
      <c r="L43" t="str">
        <f>""</f>
        <v/>
      </c>
      <c r="M43" t="str">
        <f>"44-100"</f>
        <v>44-100</v>
      </c>
      <c r="N43" t="str">
        <f>"607044095"</f>
        <v>607044095</v>
      </c>
      <c r="O43" t="s">
        <v>215</v>
      </c>
      <c r="P43" t="s">
        <v>24</v>
      </c>
    </row>
    <row r="44" spans="1:16" hidden="1" x14ac:dyDescent="0.25">
      <c r="A44">
        <v>123660</v>
      </c>
      <c r="B44" t="str">
        <f>"321550114"</f>
        <v>321550114</v>
      </c>
      <c r="C44" t="s">
        <v>16</v>
      </c>
      <c r="D44" t="s">
        <v>217</v>
      </c>
      <c r="E44" t="s">
        <v>34</v>
      </c>
      <c r="F44" t="s">
        <v>218</v>
      </c>
      <c r="G44" t="s">
        <v>219</v>
      </c>
      <c r="H44" t="s">
        <v>219</v>
      </c>
      <c r="I44" t="s">
        <v>30</v>
      </c>
      <c r="J44" t="s">
        <v>220</v>
      </c>
      <c r="K44" t="str">
        <f>"32"</f>
        <v>32</v>
      </c>
      <c r="L44" t="str">
        <f>""</f>
        <v/>
      </c>
      <c r="M44" t="str">
        <f>"73-110"</f>
        <v>73-110</v>
      </c>
      <c r="N44" t="str">
        <f>"693939744"</f>
        <v>693939744</v>
      </c>
      <c r="P44" t="s">
        <v>24</v>
      </c>
    </row>
    <row r="45" spans="1:16" hidden="1" x14ac:dyDescent="0.25">
      <c r="A45">
        <v>124692</v>
      </c>
      <c r="B45" t="str">
        <f>"200880839"</f>
        <v>200880839</v>
      </c>
      <c r="C45" t="s">
        <v>25</v>
      </c>
      <c r="D45" t="s">
        <v>221</v>
      </c>
      <c r="E45" t="s">
        <v>97</v>
      </c>
      <c r="F45" t="s">
        <v>222</v>
      </c>
      <c r="G45" t="s">
        <v>223</v>
      </c>
      <c r="H45" t="s">
        <v>223</v>
      </c>
      <c r="I45" t="s">
        <v>30</v>
      </c>
      <c r="J45" t="s">
        <v>224</v>
      </c>
      <c r="K45" t="str">
        <f>"12"</f>
        <v>12</v>
      </c>
      <c r="L45" t="str">
        <f>""</f>
        <v/>
      </c>
      <c r="M45" t="str">
        <f>"16-100"</f>
        <v>16-100</v>
      </c>
      <c r="N45" t="str">
        <f>"663348671"</f>
        <v>663348671</v>
      </c>
      <c r="O45" t="s">
        <v>225</v>
      </c>
      <c r="P45" t="s">
        <v>24</v>
      </c>
    </row>
    <row r="46" spans="1:16" hidden="1" x14ac:dyDescent="0.25">
      <c r="A46">
        <v>125170</v>
      </c>
      <c r="B46" t="str">
        <f>"022501216"</f>
        <v>022501216</v>
      </c>
      <c r="C46" t="s">
        <v>16</v>
      </c>
      <c r="D46" t="s">
        <v>226</v>
      </c>
      <c r="E46" t="s">
        <v>64</v>
      </c>
      <c r="F46" t="s">
        <v>227</v>
      </c>
      <c r="G46" t="s">
        <v>228</v>
      </c>
      <c r="H46" t="s">
        <v>228</v>
      </c>
      <c r="I46" t="s">
        <v>30</v>
      </c>
      <c r="J46" t="s">
        <v>229</v>
      </c>
      <c r="K46" t="str">
        <f>"2c"</f>
        <v>2c</v>
      </c>
      <c r="L46" t="str">
        <f>""</f>
        <v/>
      </c>
      <c r="M46" t="str">
        <f>"58-200"</f>
        <v>58-200</v>
      </c>
      <c r="N46" t="str">
        <f>"697989739"</f>
        <v>697989739</v>
      </c>
      <c r="O46" t="s">
        <v>230</v>
      </c>
      <c r="P46" t="s">
        <v>24</v>
      </c>
    </row>
    <row r="47" spans="1:16" hidden="1" x14ac:dyDescent="0.25">
      <c r="A47">
        <v>131719</v>
      </c>
      <c r="B47" t="str">
        <f>"365337892"</f>
        <v>365337892</v>
      </c>
      <c r="C47" t="s">
        <v>16</v>
      </c>
      <c r="D47" t="s">
        <v>226</v>
      </c>
      <c r="E47" t="s">
        <v>64</v>
      </c>
      <c r="F47" t="s">
        <v>232</v>
      </c>
      <c r="G47" t="s">
        <v>233</v>
      </c>
      <c r="H47" t="s">
        <v>233</v>
      </c>
      <c r="I47" t="s">
        <v>30</v>
      </c>
      <c r="J47" t="s">
        <v>234</v>
      </c>
      <c r="K47" t="str">
        <f>"4"</f>
        <v>4</v>
      </c>
      <c r="L47" t="str">
        <f>""</f>
        <v/>
      </c>
      <c r="M47" t="str">
        <f>"58-350"</f>
        <v>58-350</v>
      </c>
      <c r="N47" t="str">
        <f>"697989739"</f>
        <v>697989739</v>
      </c>
      <c r="O47" t="s">
        <v>235</v>
      </c>
      <c r="P47" t="s">
        <v>24</v>
      </c>
    </row>
    <row r="48" spans="1:16" hidden="1" x14ac:dyDescent="0.25">
      <c r="A48">
        <v>129366</v>
      </c>
      <c r="B48" t="str">
        <f>"362571794"</f>
        <v>362571794</v>
      </c>
      <c r="C48" t="s">
        <v>16</v>
      </c>
      <c r="D48" t="s">
        <v>226</v>
      </c>
      <c r="E48" t="s">
        <v>64</v>
      </c>
      <c r="F48" t="s">
        <v>236</v>
      </c>
      <c r="G48" t="s">
        <v>237</v>
      </c>
      <c r="H48" t="s">
        <v>237</v>
      </c>
      <c r="I48" t="s">
        <v>30</v>
      </c>
      <c r="J48" t="s">
        <v>238</v>
      </c>
      <c r="K48" t="str">
        <f>"7"</f>
        <v>7</v>
      </c>
      <c r="L48" t="str">
        <f>""</f>
        <v/>
      </c>
      <c r="M48" t="str">
        <f>"57-200"</f>
        <v>57-200</v>
      </c>
      <c r="N48" t="str">
        <f>"697989739"</f>
        <v>697989739</v>
      </c>
      <c r="O48" t="s">
        <v>235</v>
      </c>
      <c r="P48" t="s">
        <v>24</v>
      </c>
    </row>
    <row r="49" spans="1:16" hidden="1" x14ac:dyDescent="0.25">
      <c r="A49">
        <v>127344</v>
      </c>
      <c r="B49" t="str">
        <f>"361393149"</f>
        <v>361393149</v>
      </c>
      <c r="C49" t="s">
        <v>16</v>
      </c>
      <c r="D49" t="s">
        <v>239</v>
      </c>
      <c r="E49" t="s">
        <v>240</v>
      </c>
      <c r="F49" t="s">
        <v>241</v>
      </c>
      <c r="G49" t="s">
        <v>242</v>
      </c>
      <c r="H49" t="s">
        <v>242</v>
      </c>
      <c r="I49" t="s">
        <v>30</v>
      </c>
      <c r="J49" t="s">
        <v>243</v>
      </c>
      <c r="K49" t="str">
        <f>"2"</f>
        <v>2</v>
      </c>
      <c r="L49" t="str">
        <f>""</f>
        <v/>
      </c>
      <c r="M49" t="str">
        <f>"66-470"</f>
        <v>66-470</v>
      </c>
      <c r="N49" t="str">
        <f>"513858882"</f>
        <v>513858882</v>
      </c>
      <c r="O49" t="s">
        <v>244</v>
      </c>
      <c r="P49" t="s">
        <v>24</v>
      </c>
    </row>
    <row r="50" spans="1:16" hidden="1" x14ac:dyDescent="0.25">
      <c r="A50">
        <v>277984</v>
      </c>
      <c r="B50" t="str">
        <f>"389724541"</f>
        <v>389724541</v>
      </c>
      <c r="C50" t="s">
        <v>16</v>
      </c>
      <c r="D50" t="s">
        <v>245</v>
      </c>
      <c r="E50" t="s">
        <v>39</v>
      </c>
      <c r="F50" t="s">
        <v>40</v>
      </c>
      <c r="G50" t="s">
        <v>48</v>
      </c>
      <c r="H50" t="s">
        <v>48</v>
      </c>
      <c r="I50" t="s">
        <v>42</v>
      </c>
      <c r="J50" t="s">
        <v>246</v>
      </c>
      <c r="K50" t="str">
        <f>"104"</f>
        <v>104</v>
      </c>
      <c r="L50" t="str">
        <f>""</f>
        <v/>
      </c>
      <c r="M50" t="str">
        <f>"90-029"</f>
        <v>90-029</v>
      </c>
      <c r="N50" t="str">
        <f>"694304569"</f>
        <v>694304569</v>
      </c>
      <c r="O50" t="s">
        <v>247</v>
      </c>
      <c r="P50" t="s">
        <v>24</v>
      </c>
    </row>
    <row r="51" spans="1:16" hidden="1" x14ac:dyDescent="0.25">
      <c r="A51">
        <v>264394</v>
      </c>
      <c r="B51" t="str">
        <f>"368332381"</f>
        <v>368332381</v>
      </c>
      <c r="C51" t="s">
        <v>16</v>
      </c>
      <c r="D51" t="s">
        <v>249</v>
      </c>
      <c r="E51" t="s">
        <v>112</v>
      </c>
      <c r="F51" t="s">
        <v>250</v>
      </c>
      <c r="G51" t="s">
        <v>251</v>
      </c>
      <c r="H51" t="s">
        <v>251</v>
      </c>
      <c r="I51" t="s">
        <v>30</v>
      </c>
      <c r="J51" t="s">
        <v>252</v>
      </c>
      <c r="K51" t="str">
        <f>"3 B"</f>
        <v>3 B</v>
      </c>
      <c r="L51" t="str">
        <f>""</f>
        <v/>
      </c>
      <c r="M51" t="str">
        <f>"23-200"</f>
        <v>23-200</v>
      </c>
      <c r="N51" t="str">
        <f>"818254150"</f>
        <v>818254150</v>
      </c>
      <c r="O51" t="s">
        <v>253</v>
      </c>
      <c r="P51" t="s">
        <v>24</v>
      </c>
    </row>
    <row r="52" spans="1:16" hidden="1" x14ac:dyDescent="0.25">
      <c r="A52">
        <v>129699</v>
      </c>
      <c r="B52" t="str">
        <f>"362792845"</f>
        <v>362792845</v>
      </c>
      <c r="C52" t="s">
        <v>16</v>
      </c>
      <c r="D52" t="s">
        <v>254</v>
      </c>
      <c r="E52" t="s">
        <v>64</v>
      </c>
      <c r="F52" t="s">
        <v>255</v>
      </c>
      <c r="G52" t="s">
        <v>256</v>
      </c>
      <c r="H52" t="s">
        <v>256</v>
      </c>
      <c r="I52" t="s">
        <v>42</v>
      </c>
      <c r="J52" t="s">
        <v>257</v>
      </c>
      <c r="K52" t="str">
        <f>"81"</f>
        <v>81</v>
      </c>
      <c r="L52" t="str">
        <f>""</f>
        <v/>
      </c>
      <c r="M52" t="str">
        <f>"53-126"</f>
        <v>53-126</v>
      </c>
      <c r="N52" t="str">
        <f>"735154349"</f>
        <v>735154349</v>
      </c>
      <c r="O52" t="s">
        <v>258</v>
      </c>
      <c r="P52" t="s">
        <v>24</v>
      </c>
    </row>
    <row r="53" spans="1:16" hidden="1" x14ac:dyDescent="0.25">
      <c r="A53">
        <v>276760</v>
      </c>
      <c r="B53" t="str">
        <f>"387506952"</f>
        <v>387506952</v>
      </c>
      <c r="C53" t="s">
        <v>16</v>
      </c>
      <c r="D53" t="s">
        <v>259</v>
      </c>
      <c r="E53" t="s">
        <v>117</v>
      </c>
      <c r="F53" t="s">
        <v>260</v>
      </c>
      <c r="G53" t="s">
        <v>260</v>
      </c>
      <c r="H53" t="s">
        <v>260</v>
      </c>
      <c r="I53" t="s">
        <v>30</v>
      </c>
      <c r="J53" t="s">
        <v>261</v>
      </c>
      <c r="K53" t="str">
        <f>"16"</f>
        <v>16</v>
      </c>
      <c r="L53" t="str">
        <f>""</f>
        <v/>
      </c>
      <c r="M53" t="str">
        <f>"43-100"</f>
        <v>43-100</v>
      </c>
      <c r="N53" t="str">
        <f>"570438373"</f>
        <v>570438373</v>
      </c>
      <c r="O53" t="s">
        <v>262</v>
      </c>
      <c r="P53" t="s">
        <v>24</v>
      </c>
    </row>
    <row r="54" spans="1:16" hidden="1" x14ac:dyDescent="0.25">
      <c r="A54">
        <v>129551</v>
      </c>
      <c r="B54" t="str">
        <f>"362680260"</f>
        <v>362680260</v>
      </c>
      <c r="C54" t="s">
        <v>16</v>
      </c>
      <c r="D54" t="s">
        <v>263</v>
      </c>
      <c r="E54" t="s">
        <v>117</v>
      </c>
      <c r="F54" t="s">
        <v>260</v>
      </c>
      <c r="G54" t="s">
        <v>260</v>
      </c>
      <c r="H54" t="s">
        <v>260</v>
      </c>
      <c r="I54" t="s">
        <v>30</v>
      </c>
      <c r="J54" t="s">
        <v>261</v>
      </c>
      <c r="K54" t="str">
        <f>"16"</f>
        <v>16</v>
      </c>
      <c r="L54" t="str">
        <f>""</f>
        <v/>
      </c>
      <c r="M54" t="str">
        <f>"43-100"</f>
        <v>43-100</v>
      </c>
      <c r="N54" t="str">
        <f>"693649991"</f>
        <v>693649991</v>
      </c>
      <c r="O54" t="s">
        <v>264</v>
      </c>
      <c r="P54" t="s">
        <v>24</v>
      </c>
    </row>
    <row r="55" spans="1:16" hidden="1" x14ac:dyDescent="0.25">
      <c r="A55">
        <v>129646</v>
      </c>
      <c r="B55" t="str">
        <f>"362713515"</f>
        <v>362713515</v>
      </c>
      <c r="C55" t="s">
        <v>16</v>
      </c>
      <c r="D55" t="s">
        <v>265</v>
      </c>
      <c r="E55" t="s">
        <v>18</v>
      </c>
      <c r="F55" t="s">
        <v>19</v>
      </c>
      <c r="G55" t="s">
        <v>149</v>
      </c>
      <c r="H55" t="s">
        <v>149</v>
      </c>
      <c r="I55" t="s">
        <v>21</v>
      </c>
      <c r="J55" t="s">
        <v>266</v>
      </c>
      <c r="K55" t="str">
        <f>"49 b"</f>
        <v>49 b</v>
      </c>
      <c r="L55" t="str">
        <f>"2"</f>
        <v>2</v>
      </c>
      <c r="M55" t="str">
        <f>"03-144"</f>
        <v>03-144</v>
      </c>
      <c r="N55" t="str">
        <f>""</f>
        <v/>
      </c>
      <c r="O55" t="s">
        <v>267</v>
      </c>
      <c r="P55" t="s">
        <v>24</v>
      </c>
    </row>
    <row r="56" spans="1:16" x14ac:dyDescent="0.25">
      <c r="A56" s="2">
        <v>270145</v>
      </c>
      <c r="B56" s="2" t="str">
        <f>"382088770"</f>
        <v>382088770</v>
      </c>
      <c r="C56" s="2" t="s">
        <v>16</v>
      </c>
      <c r="D56" s="2" t="s">
        <v>268</v>
      </c>
      <c r="E56" s="2" t="s">
        <v>64</v>
      </c>
      <c r="F56" s="2" t="s">
        <v>255</v>
      </c>
      <c r="G56" s="2" t="s">
        <v>269</v>
      </c>
      <c r="H56" s="2" t="s">
        <v>269</v>
      </c>
      <c r="I56" s="2" t="s">
        <v>42</v>
      </c>
      <c r="J56" s="2" t="s">
        <v>270</v>
      </c>
      <c r="K56" s="2" t="str">
        <f>"8-10"</f>
        <v>8-10</v>
      </c>
      <c r="L56" s="2" t="str">
        <f>""</f>
        <v/>
      </c>
      <c r="M56" s="2" t="str">
        <f>"50-236"</f>
        <v>50-236</v>
      </c>
      <c r="N56" s="2" t="str">
        <f>"533790308"</f>
        <v>533790308</v>
      </c>
      <c r="O56" s="2" t="s">
        <v>271</v>
      </c>
      <c r="P56" s="2" t="s">
        <v>121</v>
      </c>
    </row>
    <row r="57" spans="1:16" x14ac:dyDescent="0.25">
      <c r="A57" s="2">
        <v>480143</v>
      </c>
      <c r="B57" s="2" t="str">
        <f>"01282702600025"</f>
        <v>01282702600025</v>
      </c>
      <c r="C57" s="2" t="s">
        <v>16</v>
      </c>
      <c r="D57" s="2" t="s">
        <v>272</v>
      </c>
      <c r="E57" s="2" t="s">
        <v>18</v>
      </c>
      <c r="F57" s="2" t="s">
        <v>19</v>
      </c>
      <c r="G57" s="2" t="s">
        <v>273</v>
      </c>
      <c r="H57" s="2" t="s">
        <v>273</v>
      </c>
      <c r="I57" s="2" t="s">
        <v>21</v>
      </c>
      <c r="J57" s="2" t="s">
        <v>274</v>
      </c>
      <c r="K57" s="2" t="str">
        <f>"26"</f>
        <v>26</v>
      </c>
      <c r="L57" s="2" t="str">
        <f>""</f>
        <v/>
      </c>
      <c r="M57" s="2" t="str">
        <f>"01-471"</f>
        <v>01-471</v>
      </c>
      <c r="N57" s="2" t="str">
        <f>"0226661774"</f>
        <v>0226661774</v>
      </c>
      <c r="O57" s="2" t="s">
        <v>275</v>
      </c>
      <c r="P57" s="2" t="s">
        <v>121</v>
      </c>
    </row>
    <row r="58" spans="1:16" x14ac:dyDescent="0.25">
      <c r="A58" s="2">
        <v>266896</v>
      </c>
      <c r="B58" s="2" t="str">
        <f>"00070564000027"</f>
        <v>00070564000027</v>
      </c>
      <c r="C58" s="2" t="s">
        <v>16</v>
      </c>
      <c r="D58" s="2" t="s">
        <v>277</v>
      </c>
      <c r="E58" s="2" t="s">
        <v>27</v>
      </c>
      <c r="F58" s="2" t="s">
        <v>123</v>
      </c>
      <c r="G58" s="2" t="s">
        <v>278</v>
      </c>
      <c r="H58" s="2" t="s">
        <v>278</v>
      </c>
      <c r="I58" s="2" t="s">
        <v>42</v>
      </c>
      <c r="J58" s="2" t="s">
        <v>279</v>
      </c>
      <c r="K58" s="2" t="str">
        <f>"36"</f>
        <v>36</v>
      </c>
      <c r="L58" s="2" t="str">
        <f>""</f>
        <v/>
      </c>
      <c r="M58" s="2" t="str">
        <f>"31-618"</f>
        <v>31-618</v>
      </c>
      <c r="N58" s="2" t="str">
        <f>"126471178"</f>
        <v>126471178</v>
      </c>
      <c r="O58" s="2" t="s">
        <v>280</v>
      </c>
      <c r="P58" s="2" t="s">
        <v>121</v>
      </c>
    </row>
    <row r="59" spans="1:16" x14ac:dyDescent="0.25">
      <c r="A59" s="2">
        <v>125465</v>
      </c>
      <c r="B59" s="2" t="str">
        <f>"00073044800027"</f>
        <v>00073044800027</v>
      </c>
      <c r="C59" s="2" t="s">
        <v>16</v>
      </c>
      <c r="D59" s="2" t="s">
        <v>283</v>
      </c>
      <c r="E59" s="2" t="s">
        <v>27</v>
      </c>
      <c r="F59" s="2" t="s">
        <v>284</v>
      </c>
      <c r="G59" s="2" t="s">
        <v>285</v>
      </c>
      <c r="H59" s="2" t="s">
        <v>285</v>
      </c>
      <c r="I59" s="2" t="s">
        <v>30</v>
      </c>
      <c r="J59" s="2" t="s">
        <v>286</v>
      </c>
      <c r="K59" s="2" t="str">
        <f>"6"</f>
        <v>6</v>
      </c>
      <c r="L59" s="2" t="str">
        <f>""</f>
        <v/>
      </c>
      <c r="M59" s="2" t="str">
        <f>"32-340"</f>
        <v>32-340</v>
      </c>
      <c r="N59" s="2" t="str">
        <f>"326441355"</f>
        <v>326441355</v>
      </c>
      <c r="O59" s="2" t="s">
        <v>287</v>
      </c>
      <c r="P59" s="2" t="s">
        <v>121</v>
      </c>
    </row>
    <row r="60" spans="1:16" x14ac:dyDescent="0.25">
      <c r="A60" s="2">
        <v>121388</v>
      </c>
      <c r="B60" s="2" t="str">
        <f>"63969496000033"</f>
        <v>63969496000033</v>
      </c>
      <c r="C60" s="2" t="s">
        <v>16</v>
      </c>
      <c r="D60" s="2" t="s">
        <v>290</v>
      </c>
      <c r="E60" s="2" t="s">
        <v>157</v>
      </c>
      <c r="F60" s="2" t="s">
        <v>162</v>
      </c>
      <c r="G60" s="2" t="s">
        <v>291</v>
      </c>
      <c r="H60" s="2" t="s">
        <v>291</v>
      </c>
      <c r="I60" s="2" t="s">
        <v>30</v>
      </c>
      <c r="J60" s="2" t="s">
        <v>229</v>
      </c>
      <c r="K60" s="2" t="str">
        <f>"8"</f>
        <v>8</v>
      </c>
      <c r="L60" s="2" t="str">
        <f>""</f>
        <v/>
      </c>
      <c r="M60" s="2" t="str">
        <f>"64-320"</f>
        <v>64-320</v>
      </c>
      <c r="N60" s="2" t="str">
        <f>"618140241"</f>
        <v>618140241</v>
      </c>
      <c r="O60" s="2" t="s">
        <v>292</v>
      </c>
      <c r="P60" s="2" t="s">
        <v>121</v>
      </c>
    </row>
    <row r="61" spans="1:16" x14ac:dyDescent="0.25">
      <c r="A61" s="2">
        <v>121381</v>
      </c>
      <c r="B61" s="2" t="str">
        <f>"63969562200025"</f>
        <v>63969562200025</v>
      </c>
      <c r="C61" s="2" t="s">
        <v>16</v>
      </c>
      <c r="D61" s="2" t="s">
        <v>294</v>
      </c>
      <c r="E61" s="2" t="s">
        <v>157</v>
      </c>
      <c r="F61" s="2" t="s">
        <v>162</v>
      </c>
      <c r="G61" s="2" t="s">
        <v>295</v>
      </c>
      <c r="H61" s="2" t="s">
        <v>296</v>
      </c>
      <c r="I61" s="2" t="s">
        <v>68</v>
      </c>
      <c r="J61" s="2" t="s">
        <v>297</v>
      </c>
      <c r="K61" s="2" t="str">
        <f>"15 d"</f>
        <v>15 d</v>
      </c>
      <c r="L61" s="2" t="str">
        <f>"83"</f>
        <v>83</v>
      </c>
      <c r="M61" s="2" t="str">
        <f>"62-028"</f>
        <v>62-028</v>
      </c>
      <c r="N61" s="2" t="str">
        <f>"618121454"</f>
        <v>618121454</v>
      </c>
      <c r="O61" s="2" t="s">
        <v>298</v>
      </c>
      <c r="P61" s="2" t="s">
        <v>121</v>
      </c>
    </row>
    <row r="62" spans="1:16" x14ac:dyDescent="0.25">
      <c r="A62" s="2">
        <v>88512</v>
      </c>
      <c r="B62" s="2" t="str">
        <f>"00106989600024"</f>
        <v>00106989600024</v>
      </c>
      <c r="C62" s="2" t="s">
        <v>16</v>
      </c>
      <c r="D62" s="2" t="s">
        <v>300</v>
      </c>
      <c r="E62" s="2" t="s">
        <v>181</v>
      </c>
      <c r="F62" s="2" t="s">
        <v>301</v>
      </c>
      <c r="G62" s="2" t="s">
        <v>302</v>
      </c>
      <c r="H62" s="2" t="s">
        <v>303</v>
      </c>
      <c r="I62" s="2" t="s">
        <v>68</v>
      </c>
      <c r="J62" s="2"/>
      <c r="K62" s="2" t="str">
        <f>"1"</f>
        <v>1</v>
      </c>
      <c r="L62" s="2" t="str">
        <f>""</f>
        <v/>
      </c>
      <c r="M62" s="2" t="str">
        <f>"87-123"</f>
        <v>87-123</v>
      </c>
      <c r="N62" s="2" t="str">
        <f>"0566756727"</f>
        <v>0566756727</v>
      </c>
      <c r="O62" s="2" t="s">
        <v>304</v>
      </c>
      <c r="P62" s="2" t="s">
        <v>121</v>
      </c>
    </row>
    <row r="63" spans="1:16" x14ac:dyDescent="0.25">
      <c r="A63" s="2">
        <v>121390</v>
      </c>
      <c r="B63" s="2" t="str">
        <f>"00070826500029"</f>
        <v>00070826500029</v>
      </c>
      <c r="C63" s="2" t="s">
        <v>16</v>
      </c>
      <c r="D63" s="2" t="s">
        <v>307</v>
      </c>
      <c r="E63" s="2" t="s">
        <v>157</v>
      </c>
      <c r="F63" s="2" t="s">
        <v>162</v>
      </c>
      <c r="G63" s="2" t="s">
        <v>308</v>
      </c>
      <c r="H63" s="2" t="s">
        <v>308</v>
      </c>
      <c r="I63" s="2" t="s">
        <v>30</v>
      </c>
      <c r="J63" s="2" t="s">
        <v>297</v>
      </c>
      <c r="K63" s="2" t="str">
        <f>"34A"</f>
        <v>34A</v>
      </c>
      <c r="L63" s="2" t="str">
        <f>""</f>
        <v/>
      </c>
      <c r="M63" s="2" t="str">
        <f>"62-035"</f>
        <v>62-035</v>
      </c>
      <c r="N63" s="2" t="str">
        <f>"618190495"</f>
        <v>618190495</v>
      </c>
      <c r="O63" s="2" t="s">
        <v>309</v>
      </c>
      <c r="P63" s="2" t="s">
        <v>121</v>
      </c>
    </row>
    <row r="64" spans="1:16" x14ac:dyDescent="0.25">
      <c r="A64" s="2">
        <v>121384</v>
      </c>
      <c r="B64" s="2" t="str">
        <f>"63969562200057"</f>
        <v>63969562200057</v>
      </c>
      <c r="C64" s="2" t="s">
        <v>16</v>
      </c>
      <c r="D64" s="2" t="s">
        <v>311</v>
      </c>
      <c r="E64" s="2" t="s">
        <v>157</v>
      </c>
      <c r="F64" s="2" t="s">
        <v>162</v>
      </c>
      <c r="G64" s="2" t="s">
        <v>312</v>
      </c>
      <c r="H64" s="2" t="s">
        <v>312</v>
      </c>
      <c r="I64" s="2" t="s">
        <v>30</v>
      </c>
      <c r="J64" s="2" t="s">
        <v>313</v>
      </c>
      <c r="K64" s="2" t="str">
        <f>"1"</f>
        <v>1</v>
      </c>
      <c r="L64" s="2" t="str">
        <f>""</f>
        <v/>
      </c>
      <c r="M64" s="2" t="str">
        <f>"62-025"</f>
        <v>62-025</v>
      </c>
      <c r="N64" s="2" t="str">
        <f>"618189819"</f>
        <v>618189819</v>
      </c>
      <c r="O64" s="2" t="s">
        <v>314</v>
      </c>
      <c r="P64" s="2" t="s">
        <v>121</v>
      </c>
    </row>
    <row r="65" spans="1:16" x14ac:dyDescent="0.25">
      <c r="A65" s="2">
        <v>121382</v>
      </c>
      <c r="B65" s="2" t="str">
        <f>"63969562200032"</f>
        <v>63969562200032</v>
      </c>
      <c r="C65" s="2" t="s">
        <v>16</v>
      </c>
      <c r="D65" s="2" t="s">
        <v>315</v>
      </c>
      <c r="E65" s="2" t="s">
        <v>157</v>
      </c>
      <c r="F65" s="2" t="s">
        <v>162</v>
      </c>
      <c r="G65" s="2" t="s">
        <v>316</v>
      </c>
      <c r="H65" s="2" t="s">
        <v>316</v>
      </c>
      <c r="I65" s="2" t="s">
        <v>30</v>
      </c>
      <c r="J65" s="2" t="s">
        <v>317</v>
      </c>
      <c r="K65" s="2" t="str">
        <f>"10"</f>
        <v>10</v>
      </c>
      <c r="L65" s="2" t="str">
        <f>""</f>
        <v/>
      </c>
      <c r="M65" s="2" t="str">
        <f>"62-095"</f>
        <v>62-095</v>
      </c>
      <c r="N65" s="2" t="str">
        <f>"618123621"</f>
        <v>618123621</v>
      </c>
      <c r="O65" s="2" t="s">
        <v>318</v>
      </c>
      <c r="P65" s="2" t="s">
        <v>121</v>
      </c>
    </row>
    <row r="66" spans="1:16" x14ac:dyDescent="0.25">
      <c r="A66" s="2">
        <v>121383</v>
      </c>
      <c r="B66" s="2" t="str">
        <f>"63969562200040"</f>
        <v>63969562200040</v>
      </c>
      <c r="C66" s="2" t="s">
        <v>16</v>
      </c>
      <c r="D66" s="2" t="s">
        <v>319</v>
      </c>
      <c r="E66" s="2" t="s">
        <v>157</v>
      </c>
      <c r="F66" s="2" t="s">
        <v>162</v>
      </c>
      <c r="G66" s="2" t="s">
        <v>320</v>
      </c>
      <c r="H66" s="2" t="s">
        <v>320</v>
      </c>
      <c r="I66" s="2" t="s">
        <v>30</v>
      </c>
      <c r="J66" s="2" t="s">
        <v>321</v>
      </c>
      <c r="K66" s="2" t="str">
        <f>"16"</f>
        <v>16</v>
      </c>
      <c r="L66" s="2" t="str">
        <f>""</f>
        <v/>
      </c>
      <c r="M66" s="2" t="str">
        <f>"62-010"</f>
        <v>62-010</v>
      </c>
      <c r="N66" s="2" t="str">
        <f>"618154574"</f>
        <v>618154574</v>
      </c>
      <c r="O66" s="2" t="s">
        <v>322</v>
      </c>
      <c r="P66" s="2" t="s">
        <v>121</v>
      </c>
    </row>
    <row r="67" spans="1:16" x14ac:dyDescent="0.25">
      <c r="A67" s="2">
        <v>121387</v>
      </c>
      <c r="B67" s="2" t="str">
        <f>"63969496000058"</f>
        <v>63969496000058</v>
      </c>
      <c r="C67" s="2" t="s">
        <v>16</v>
      </c>
      <c r="D67" s="2" t="s">
        <v>323</v>
      </c>
      <c r="E67" s="2" t="s">
        <v>157</v>
      </c>
      <c r="F67" s="2" t="s">
        <v>162</v>
      </c>
      <c r="G67" s="2" t="s">
        <v>324</v>
      </c>
      <c r="H67" s="2" t="s">
        <v>324</v>
      </c>
      <c r="I67" s="2" t="s">
        <v>30</v>
      </c>
      <c r="J67" s="2" t="s">
        <v>325</v>
      </c>
      <c r="K67" s="2" t="str">
        <f>"2"</f>
        <v>2</v>
      </c>
      <c r="L67" s="2" t="str">
        <f>""</f>
        <v/>
      </c>
      <c r="M67" s="2" t="str">
        <f>"62-060"</f>
        <v>62-060</v>
      </c>
      <c r="N67" s="2" t="str">
        <f>"729856077"</f>
        <v>729856077</v>
      </c>
      <c r="O67" s="2" t="s">
        <v>326</v>
      </c>
      <c r="P67" s="2" t="s">
        <v>121</v>
      </c>
    </row>
    <row r="68" spans="1:16" hidden="1" x14ac:dyDescent="0.25">
      <c r="A68">
        <v>108962</v>
      </c>
      <c r="B68" t="str">
        <f>"061515662"</f>
        <v>061515662</v>
      </c>
      <c r="C68" t="s">
        <v>25</v>
      </c>
      <c r="D68" t="s">
        <v>327</v>
      </c>
      <c r="E68" t="s">
        <v>112</v>
      </c>
      <c r="F68" t="s">
        <v>113</v>
      </c>
      <c r="G68" t="s">
        <v>113</v>
      </c>
      <c r="H68" t="s">
        <v>113</v>
      </c>
      <c r="I68" t="s">
        <v>30</v>
      </c>
      <c r="J68" t="s">
        <v>328</v>
      </c>
      <c r="K68" t="str">
        <f>"5"</f>
        <v>5</v>
      </c>
      <c r="L68" t="str">
        <f>"7"</f>
        <v>7</v>
      </c>
      <c r="M68" t="str">
        <f>"20-552"</f>
        <v>20-552</v>
      </c>
      <c r="N68" t="str">
        <f>"815265818"</f>
        <v>815265818</v>
      </c>
      <c r="P68" t="s">
        <v>24</v>
      </c>
    </row>
    <row r="69" spans="1:16" hidden="1" x14ac:dyDescent="0.25">
      <c r="A69">
        <v>129040</v>
      </c>
      <c r="B69" t="str">
        <f>"362455266"</f>
        <v>362455266</v>
      </c>
      <c r="C69" t="s">
        <v>16</v>
      </c>
      <c r="D69" t="s">
        <v>329</v>
      </c>
      <c r="E69" t="s">
        <v>39</v>
      </c>
      <c r="F69" t="s">
        <v>330</v>
      </c>
      <c r="G69" t="s">
        <v>331</v>
      </c>
      <c r="H69" t="s">
        <v>331</v>
      </c>
      <c r="I69" t="s">
        <v>30</v>
      </c>
      <c r="J69" t="s">
        <v>332</v>
      </c>
      <c r="K69" t="str">
        <f>"14"</f>
        <v>14</v>
      </c>
      <c r="L69" t="str">
        <f>""</f>
        <v/>
      </c>
      <c r="M69" t="str">
        <f>"97-400"</f>
        <v>97-400</v>
      </c>
      <c r="N69" t="str">
        <f>"661851200"</f>
        <v>661851200</v>
      </c>
      <c r="O69" t="s">
        <v>333</v>
      </c>
      <c r="P69" t="s">
        <v>24</v>
      </c>
    </row>
    <row r="70" spans="1:16" hidden="1" x14ac:dyDescent="0.25">
      <c r="A70">
        <v>480538</v>
      </c>
      <c r="B70" t="str">
        <f>"526155617"</f>
        <v>526155617</v>
      </c>
      <c r="C70" t="s">
        <v>16</v>
      </c>
      <c r="D70" t="s">
        <v>335</v>
      </c>
      <c r="E70" t="s">
        <v>39</v>
      </c>
      <c r="F70" t="s">
        <v>334</v>
      </c>
      <c r="G70" t="s">
        <v>334</v>
      </c>
      <c r="H70" t="s">
        <v>334</v>
      </c>
      <c r="I70" t="s">
        <v>30</v>
      </c>
      <c r="J70" t="s">
        <v>336</v>
      </c>
      <c r="K70" t="str">
        <f>"33"</f>
        <v>33</v>
      </c>
      <c r="L70" t="str">
        <f>""</f>
        <v/>
      </c>
      <c r="M70" t="str">
        <f>"97-300"</f>
        <v>97-300</v>
      </c>
      <c r="N70" t="str">
        <f>"661851200"</f>
        <v>661851200</v>
      </c>
      <c r="O70" t="s">
        <v>337</v>
      </c>
      <c r="P70" t="s">
        <v>24</v>
      </c>
    </row>
    <row r="71" spans="1:16" hidden="1" x14ac:dyDescent="0.25">
      <c r="A71">
        <v>73807</v>
      </c>
      <c r="B71" t="str">
        <f>"221778760"</f>
        <v>221778760</v>
      </c>
      <c r="C71" t="s">
        <v>16</v>
      </c>
      <c r="D71" t="s">
        <v>338</v>
      </c>
      <c r="E71" t="s">
        <v>80</v>
      </c>
      <c r="F71" t="s">
        <v>339</v>
      </c>
      <c r="G71" t="s">
        <v>339</v>
      </c>
      <c r="H71" t="s">
        <v>339</v>
      </c>
      <c r="I71" t="s">
        <v>30</v>
      </c>
      <c r="J71" t="s">
        <v>340</v>
      </c>
      <c r="K71" t="str">
        <f>"1"</f>
        <v>1</v>
      </c>
      <c r="L71" t="str">
        <f>""</f>
        <v/>
      </c>
      <c r="M71" t="str">
        <f>"80-753"</f>
        <v>80-753</v>
      </c>
      <c r="N71" t="str">
        <f>"583033033"</f>
        <v>583033033</v>
      </c>
      <c r="O71" t="s">
        <v>341</v>
      </c>
      <c r="P71" t="s">
        <v>24</v>
      </c>
    </row>
    <row r="72" spans="1:16" hidden="1" x14ac:dyDescent="0.25">
      <c r="A72">
        <v>275494</v>
      </c>
      <c r="B72" t="str">
        <f>"386926037"</f>
        <v>386926037</v>
      </c>
      <c r="C72" t="s">
        <v>16</v>
      </c>
      <c r="D72" t="s">
        <v>342</v>
      </c>
      <c r="E72" t="s">
        <v>18</v>
      </c>
      <c r="F72" t="s">
        <v>19</v>
      </c>
      <c r="G72" t="s">
        <v>343</v>
      </c>
      <c r="H72" t="s">
        <v>343</v>
      </c>
      <c r="I72" t="s">
        <v>21</v>
      </c>
      <c r="J72" t="s">
        <v>344</v>
      </c>
      <c r="K72" t="str">
        <f>"1"</f>
        <v>1</v>
      </c>
      <c r="L72" t="str">
        <f>""</f>
        <v/>
      </c>
      <c r="M72" t="str">
        <f>"02-972"</f>
        <v>02-972</v>
      </c>
      <c r="N72" t="str">
        <f>"501804960"</f>
        <v>501804960</v>
      </c>
      <c r="O72" t="s">
        <v>345</v>
      </c>
      <c r="P72" t="s">
        <v>24</v>
      </c>
    </row>
    <row r="73" spans="1:16" hidden="1" x14ac:dyDescent="0.25">
      <c r="A73">
        <v>480357</v>
      </c>
      <c r="B73" t="str">
        <f>"525873836"</f>
        <v>525873836</v>
      </c>
      <c r="C73" t="s">
        <v>16</v>
      </c>
      <c r="D73" t="s">
        <v>346</v>
      </c>
      <c r="E73" t="s">
        <v>64</v>
      </c>
      <c r="F73" t="s">
        <v>255</v>
      </c>
      <c r="G73" t="s">
        <v>256</v>
      </c>
      <c r="H73" t="s">
        <v>256</v>
      </c>
      <c r="I73" t="s">
        <v>42</v>
      </c>
      <c r="J73" t="s">
        <v>347</v>
      </c>
      <c r="K73" t="str">
        <f>"58"</f>
        <v>58</v>
      </c>
      <c r="L73" t="str">
        <f>""</f>
        <v/>
      </c>
      <c r="M73" t="str">
        <f>"53-012"</f>
        <v>53-012</v>
      </c>
      <c r="N73" t="str">
        <f>"574009218"</f>
        <v>574009218</v>
      </c>
      <c r="O73" t="s">
        <v>348</v>
      </c>
      <c r="P73" t="s">
        <v>24</v>
      </c>
    </row>
    <row r="74" spans="1:16" hidden="1" x14ac:dyDescent="0.25">
      <c r="A74">
        <v>127684</v>
      </c>
      <c r="B74" t="str">
        <f>"361805089"</f>
        <v>361805089</v>
      </c>
      <c r="C74" t="s">
        <v>16</v>
      </c>
      <c r="D74" t="s">
        <v>349</v>
      </c>
      <c r="E74" t="s">
        <v>117</v>
      </c>
      <c r="F74" t="s">
        <v>350</v>
      </c>
      <c r="G74" t="s">
        <v>350</v>
      </c>
      <c r="H74" t="s">
        <v>350</v>
      </c>
      <c r="I74" t="s">
        <v>30</v>
      </c>
      <c r="J74" t="s">
        <v>351</v>
      </c>
      <c r="K74" t="str">
        <f>"10"</f>
        <v>10</v>
      </c>
      <c r="L74" t="str">
        <f>""</f>
        <v/>
      </c>
      <c r="M74" t="str">
        <f>"44-200"</f>
        <v>44-200</v>
      </c>
      <c r="N74" t="str">
        <f>"324228607"</f>
        <v>324228607</v>
      </c>
      <c r="O74" t="s">
        <v>352</v>
      </c>
      <c r="P74" t="s">
        <v>24</v>
      </c>
    </row>
    <row r="75" spans="1:16" hidden="1" x14ac:dyDescent="0.25">
      <c r="A75">
        <v>129504</v>
      </c>
      <c r="B75" t="str">
        <f>"362650789"</f>
        <v>362650789</v>
      </c>
      <c r="C75" t="s">
        <v>16</v>
      </c>
      <c r="D75" t="s">
        <v>353</v>
      </c>
      <c r="E75" t="s">
        <v>64</v>
      </c>
      <c r="F75" t="s">
        <v>255</v>
      </c>
      <c r="G75" t="s">
        <v>269</v>
      </c>
      <c r="H75" t="s">
        <v>269</v>
      </c>
      <c r="I75" t="s">
        <v>42</v>
      </c>
      <c r="J75" t="s">
        <v>354</v>
      </c>
      <c r="K75" t="str">
        <f>"24 bud. H1"</f>
        <v>24 bud. H1</v>
      </c>
      <c r="L75" t="str">
        <f>""</f>
        <v/>
      </c>
      <c r="M75" t="str">
        <f>"50-220"</f>
        <v>50-220</v>
      </c>
      <c r="N75" t="str">
        <f>"505036026"</f>
        <v>505036026</v>
      </c>
      <c r="O75" t="s">
        <v>355</v>
      </c>
      <c r="P75" t="s">
        <v>24</v>
      </c>
    </row>
    <row r="76" spans="1:16" hidden="1" x14ac:dyDescent="0.25">
      <c r="A76">
        <v>105482</v>
      </c>
      <c r="B76" t="str">
        <f>"022047898"</f>
        <v>022047898</v>
      </c>
      <c r="C76" t="s">
        <v>16</v>
      </c>
      <c r="D76" t="s">
        <v>357</v>
      </c>
      <c r="E76" t="s">
        <v>64</v>
      </c>
      <c r="F76" t="s">
        <v>358</v>
      </c>
      <c r="G76" t="s">
        <v>359</v>
      </c>
      <c r="H76" t="s">
        <v>359</v>
      </c>
      <c r="I76" t="s">
        <v>30</v>
      </c>
      <c r="J76" t="s">
        <v>360</v>
      </c>
      <c r="K76" t="str">
        <f>"8"</f>
        <v>8</v>
      </c>
      <c r="L76" t="str">
        <f>""</f>
        <v/>
      </c>
      <c r="M76" t="str">
        <f>"57-300"</f>
        <v>57-300</v>
      </c>
      <c r="N76" t="str">
        <f>"0748671302"</f>
        <v>0748671302</v>
      </c>
      <c r="O76" t="s">
        <v>361</v>
      </c>
      <c r="P76" t="s">
        <v>24</v>
      </c>
    </row>
    <row r="77" spans="1:16" hidden="1" x14ac:dyDescent="0.25">
      <c r="A77">
        <v>125068</v>
      </c>
      <c r="B77" t="str">
        <f>"147423710"</f>
        <v>147423710</v>
      </c>
      <c r="C77" t="s">
        <v>16</v>
      </c>
      <c r="D77" t="s">
        <v>362</v>
      </c>
      <c r="E77" t="s">
        <v>18</v>
      </c>
      <c r="F77" t="s">
        <v>363</v>
      </c>
      <c r="G77" t="s">
        <v>363</v>
      </c>
      <c r="H77" t="s">
        <v>363</v>
      </c>
      <c r="I77" t="s">
        <v>30</v>
      </c>
      <c r="J77" t="s">
        <v>364</v>
      </c>
      <c r="K77" t="str">
        <f>"32"</f>
        <v>32</v>
      </c>
      <c r="L77" t="str">
        <f>""</f>
        <v/>
      </c>
      <c r="M77" t="str">
        <f>"08-110"</f>
        <v>08-110</v>
      </c>
      <c r="N77" t="str">
        <f>"606394228"</f>
        <v>606394228</v>
      </c>
      <c r="O77" t="s">
        <v>365</v>
      </c>
      <c r="P77" t="s">
        <v>24</v>
      </c>
    </row>
    <row r="78" spans="1:16" hidden="1" x14ac:dyDescent="0.25">
      <c r="A78">
        <v>130273</v>
      </c>
      <c r="B78" t="str">
        <f>"363741577"</f>
        <v>363741577</v>
      </c>
      <c r="C78" t="s">
        <v>16</v>
      </c>
      <c r="D78" t="s">
        <v>366</v>
      </c>
      <c r="E78" t="s">
        <v>101</v>
      </c>
      <c r="F78" t="s">
        <v>102</v>
      </c>
      <c r="G78" t="s">
        <v>102</v>
      </c>
      <c r="H78" t="s">
        <v>102</v>
      </c>
      <c r="I78" t="s">
        <v>30</v>
      </c>
      <c r="J78" t="s">
        <v>367</v>
      </c>
      <c r="K78" t="str">
        <f>"12"</f>
        <v>12</v>
      </c>
      <c r="L78" t="str">
        <f>"5"</f>
        <v>5</v>
      </c>
      <c r="M78" t="str">
        <f>"35-025"</f>
        <v>35-025</v>
      </c>
      <c r="N78" t="str">
        <f>"790525090"</f>
        <v>790525090</v>
      </c>
      <c r="O78" t="s">
        <v>368</v>
      </c>
      <c r="P78" t="s">
        <v>24</v>
      </c>
    </row>
    <row r="79" spans="1:16" hidden="1" x14ac:dyDescent="0.25">
      <c r="A79">
        <v>273488</v>
      </c>
      <c r="B79" t="str">
        <f>"384481588"</f>
        <v>384481588</v>
      </c>
      <c r="C79" t="s">
        <v>16</v>
      </c>
      <c r="D79" t="s">
        <v>369</v>
      </c>
      <c r="E79" t="s">
        <v>34</v>
      </c>
      <c r="F79" t="s">
        <v>35</v>
      </c>
      <c r="G79" t="s">
        <v>35</v>
      </c>
      <c r="H79" t="s">
        <v>35</v>
      </c>
      <c r="I79" t="s">
        <v>30</v>
      </c>
      <c r="J79" t="s">
        <v>370</v>
      </c>
      <c r="K79" t="str">
        <f>"46"</f>
        <v>46</v>
      </c>
      <c r="L79" t="str">
        <f>"U1"</f>
        <v>U1</v>
      </c>
      <c r="M79" t="str">
        <f>"70-037"</f>
        <v>70-037</v>
      </c>
      <c r="N79" t="str">
        <f>"501070847"</f>
        <v>501070847</v>
      </c>
      <c r="O79" t="s">
        <v>371</v>
      </c>
      <c r="P79" t="s">
        <v>24</v>
      </c>
    </row>
    <row r="80" spans="1:16" hidden="1" x14ac:dyDescent="0.25">
      <c r="A80">
        <v>127478</v>
      </c>
      <c r="B80" t="str">
        <f>"361647621"</f>
        <v>361647621</v>
      </c>
      <c r="C80" t="s">
        <v>16</v>
      </c>
      <c r="D80" t="s">
        <v>372</v>
      </c>
      <c r="E80" t="s">
        <v>18</v>
      </c>
      <c r="F80" t="s">
        <v>373</v>
      </c>
      <c r="G80" t="s">
        <v>374</v>
      </c>
      <c r="H80" t="s">
        <v>375</v>
      </c>
      <c r="I80" t="s">
        <v>68</v>
      </c>
      <c r="J80" t="s">
        <v>376</v>
      </c>
      <c r="K80" t="str">
        <f>"1"</f>
        <v>1</v>
      </c>
      <c r="L80" t="str">
        <f>""</f>
        <v/>
      </c>
      <c r="M80" t="str">
        <f>"05-126"</f>
        <v>05-126</v>
      </c>
      <c r="N80" t="str">
        <f>"535435185"</f>
        <v>535435185</v>
      </c>
      <c r="O80" t="s">
        <v>377</v>
      </c>
      <c r="P80" t="s">
        <v>24</v>
      </c>
    </row>
    <row r="81" spans="1:16" hidden="1" x14ac:dyDescent="0.25">
      <c r="A81">
        <v>70631</v>
      </c>
      <c r="B81" t="str">
        <f>"221775566"</f>
        <v>221775566</v>
      </c>
      <c r="C81" t="s">
        <v>16</v>
      </c>
      <c r="D81" t="s">
        <v>378</v>
      </c>
      <c r="E81" t="s">
        <v>80</v>
      </c>
      <c r="F81" t="s">
        <v>339</v>
      </c>
      <c r="G81" t="s">
        <v>339</v>
      </c>
      <c r="H81" t="s">
        <v>339</v>
      </c>
      <c r="I81" t="s">
        <v>30</v>
      </c>
      <c r="J81" t="s">
        <v>379</v>
      </c>
      <c r="K81" t="str">
        <f>"139"</f>
        <v>139</v>
      </c>
      <c r="L81" t="str">
        <f>""</f>
        <v/>
      </c>
      <c r="M81" t="str">
        <f>"80-114"</f>
        <v>80-114</v>
      </c>
      <c r="N81" t="str">
        <f>"583414441"</f>
        <v>583414441</v>
      </c>
      <c r="O81" t="s">
        <v>380</v>
      </c>
      <c r="P81" t="s">
        <v>24</v>
      </c>
    </row>
    <row r="82" spans="1:16" hidden="1" x14ac:dyDescent="0.25">
      <c r="A82">
        <v>481175</v>
      </c>
      <c r="B82" t="str">
        <f>"526567248"</f>
        <v>526567248</v>
      </c>
      <c r="C82" t="s">
        <v>16</v>
      </c>
      <c r="D82" t="s">
        <v>381</v>
      </c>
      <c r="E82" t="s">
        <v>117</v>
      </c>
      <c r="F82" t="s">
        <v>382</v>
      </c>
      <c r="G82" t="s">
        <v>382</v>
      </c>
      <c r="H82" t="s">
        <v>382</v>
      </c>
      <c r="I82" t="s">
        <v>30</v>
      </c>
      <c r="J82" t="s">
        <v>238</v>
      </c>
      <c r="K82" t="str">
        <f>"88"</f>
        <v>88</v>
      </c>
      <c r="L82" t="str">
        <f>""</f>
        <v/>
      </c>
      <c r="M82" t="str">
        <f>"40-231"</f>
        <v>40-231</v>
      </c>
      <c r="N82" t="str">
        <f>"666143944"</f>
        <v>666143944</v>
      </c>
      <c r="O82" t="s">
        <v>383</v>
      </c>
      <c r="P82" t="s">
        <v>24</v>
      </c>
    </row>
    <row r="83" spans="1:16" hidden="1" x14ac:dyDescent="0.25">
      <c r="A83">
        <v>270267</v>
      </c>
      <c r="B83" t="str">
        <f>"382296906"</f>
        <v>382296906</v>
      </c>
      <c r="C83" t="s">
        <v>16</v>
      </c>
      <c r="D83" t="s">
        <v>385</v>
      </c>
      <c r="E83" t="s">
        <v>39</v>
      </c>
      <c r="F83" t="s">
        <v>40</v>
      </c>
      <c r="G83" t="s">
        <v>248</v>
      </c>
      <c r="H83" t="s">
        <v>248</v>
      </c>
      <c r="I83" t="s">
        <v>42</v>
      </c>
      <c r="J83" t="s">
        <v>386</v>
      </c>
      <c r="K83" t="str">
        <f>"4"</f>
        <v>4</v>
      </c>
      <c r="L83" t="str">
        <f>""</f>
        <v/>
      </c>
      <c r="M83" t="str">
        <f>"94-003"</f>
        <v>94-003</v>
      </c>
      <c r="N83" t="str">
        <f>"604644444"</f>
        <v>604644444</v>
      </c>
      <c r="O83" t="s">
        <v>387</v>
      </c>
      <c r="P83" t="s">
        <v>24</v>
      </c>
    </row>
    <row r="84" spans="1:16" hidden="1" x14ac:dyDescent="0.25">
      <c r="A84">
        <v>75725</v>
      </c>
      <c r="B84" t="str">
        <f>"170945310"</f>
        <v>170945310</v>
      </c>
      <c r="C84" t="s">
        <v>25</v>
      </c>
      <c r="D84" t="s">
        <v>388</v>
      </c>
      <c r="E84" t="s">
        <v>389</v>
      </c>
      <c r="F84" t="s">
        <v>390</v>
      </c>
      <c r="G84" t="s">
        <v>391</v>
      </c>
      <c r="H84" t="s">
        <v>391</v>
      </c>
      <c r="I84" t="s">
        <v>30</v>
      </c>
      <c r="J84" t="s">
        <v>392</v>
      </c>
      <c r="K84" t="str">
        <f>"24"</f>
        <v>24</v>
      </c>
      <c r="L84" t="str">
        <f>""</f>
        <v/>
      </c>
      <c r="M84" t="str">
        <f>"14-500"</f>
        <v>14-500</v>
      </c>
      <c r="N84" t="str">
        <f>"552432381"</f>
        <v>552432381</v>
      </c>
      <c r="P84" t="s">
        <v>24</v>
      </c>
    </row>
    <row r="85" spans="1:16" hidden="1" x14ac:dyDescent="0.25">
      <c r="A85">
        <v>267637</v>
      </c>
      <c r="B85" t="str">
        <f>"380450071"</f>
        <v>380450071</v>
      </c>
      <c r="C85" t="s">
        <v>16</v>
      </c>
      <c r="D85" t="s">
        <v>394</v>
      </c>
      <c r="E85" t="s">
        <v>80</v>
      </c>
      <c r="F85" t="s">
        <v>145</v>
      </c>
      <c r="G85" t="s">
        <v>395</v>
      </c>
      <c r="H85" t="s">
        <v>395</v>
      </c>
      <c r="I85" t="s">
        <v>30</v>
      </c>
      <c r="J85" t="s">
        <v>396</v>
      </c>
      <c r="K85" t="str">
        <f>"41H"</f>
        <v>41H</v>
      </c>
      <c r="L85" t="str">
        <f>"2"</f>
        <v>2</v>
      </c>
      <c r="M85" t="str">
        <f>"84-230"</f>
        <v>84-230</v>
      </c>
      <c r="N85" t="str">
        <f>"535456312"</f>
        <v>535456312</v>
      </c>
      <c r="O85" t="s">
        <v>397</v>
      </c>
      <c r="P85" t="s">
        <v>24</v>
      </c>
    </row>
    <row r="86" spans="1:16" hidden="1" x14ac:dyDescent="0.25">
      <c r="A86">
        <v>277527</v>
      </c>
      <c r="B86" t="str">
        <f>"389046414"</f>
        <v>389046414</v>
      </c>
      <c r="C86" t="s">
        <v>16</v>
      </c>
      <c r="D86" t="s">
        <v>398</v>
      </c>
      <c r="E86" t="s">
        <v>117</v>
      </c>
      <c r="F86" t="s">
        <v>382</v>
      </c>
      <c r="G86" t="s">
        <v>382</v>
      </c>
      <c r="H86" t="s">
        <v>382</v>
      </c>
      <c r="I86" t="s">
        <v>30</v>
      </c>
      <c r="J86" t="s">
        <v>399</v>
      </c>
      <c r="K86" t="str">
        <f>"27"</f>
        <v>27</v>
      </c>
      <c r="L86" t="str">
        <f>""</f>
        <v/>
      </c>
      <c r="M86" t="str">
        <f>"40-173"</f>
        <v>40-173</v>
      </c>
      <c r="N86" t="str">
        <f>"885806142"</f>
        <v>885806142</v>
      </c>
      <c r="O86" t="s">
        <v>400</v>
      </c>
      <c r="P86" t="s">
        <v>24</v>
      </c>
    </row>
    <row r="87" spans="1:16" hidden="1" x14ac:dyDescent="0.25">
      <c r="A87">
        <v>132487</v>
      </c>
      <c r="B87" t="str">
        <f>"365675590"</f>
        <v>365675590</v>
      </c>
      <c r="C87" t="s">
        <v>16</v>
      </c>
      <c r="D87" t="s">
        <v>401</v>
      </c>
      <c r="E87" t="s">
        <v>181</v>
      </c>
      <c r="F87" t="s">
        <v>182</v>
      </c>
      <c r="G87" t="s">
        <v>183</v>
      </c>
      <c r="H87" t="s">
        <v>183</v>
      </c>
      <c r="I87" t="s">
        <v>30</v>
      </c>
      <c r="J87" t="s">
        <v>402</v>
      </c>
      <c r="K87" t="str">
        <f>"31"</f>
        <v>31</v>
      </c>
      <c r="L87" t="str">
        <f>""</f>
        <v/>
      </c>
      <c r="M87" t="str">
        <f>"88-100"</f>
        <v>88-100</v>
      </c>
      <c r="N87" t="str">
        <f>"604150538"</f>
        <v>604150538</v>
      </c>
      <c r="O87" t="s">
        <v>403</v>
      </c>
      <c r="P87" t="s">
        <v>24</v>
      </c>
    </row>
    <row r="88" spans="1:16" hidden="1" x14ac:dyDescent="0.25">
      <c r="A88">
        <v>129980</v>
      </c>
      <c r="B88" t="str">
        <f>"363216090"</f>
        <v>363216090</v>
      </c>
      <c r="C88" t="s">
        <v>16</v>
      </c>
      <c r="D88" t="s">
        <v>404</v>
      </c>
      <c r="E88" t="s">
        <v>18</v>
      </c>
      <c r="F88" t="s">
        <v>19</v>
      </c>
      <c r="G88" t="s">
        <v>405</v>
      </c>
      <c r="H88" t="s">
        <v>405</v>
      </c>
      <c r="I88" t="s">
        <v>21</v>
      </c>
      <c r="J88" t="s">
        <v>399</v>
      </c>
      <c r="K88" t="str">
        <f>"18"</f>
        <v>18</v>
      </c>
      <c r="L88" t="str">
        <f>""</f>
        <v/>
      </c>
      <c r="M88" t="str">
        <f>"03-932"</f>
        <v>03-932</v>
      </c>
      <c r="N88" t="str">
        <f>"226176164"</f>
        <v>226176164</v>
      </c>
      <c r="O88" t="s">
        <v>406</v>
      </c>
      <c r="P88" t="s">
        <v>24</v>
      </c>
    </row>
    <row r="89" spans="1:16" hidden="1" x14ac:dyDescent="0.25">
      <c r="A89">
        <v>64872</v>
      </c>
      <c r="B89" t="str">
        <f>"122692472"</f>
        <v>122692472</v>
      </c>
      <c r="C89" t="s">
        <v>25</v>
      </c>
      <c r="D89" t="s">
        <v>407</v>
      </c>
      <c r="E89" t="s">
        <v>27</v>
      </c>
      <c r="F89" t="s">
        <v>408</v>
      </c>
      <c r="G89" t="s">
        <v>409</v>
      </c>
      <c r="H89" t="s">
        <v>409</v>
      </c>
      <c r="I89" t="s">
        <v>30</v>
      </c>
      <c r="J89" t="s">
        <v>410</v>
      </c>
      <c r="K89" t="str">
        <f>"14"</f>
        <v>14</v>
      </c>
      <c r="L89" t="str">
        <f>""</f>
        <v/>
      </c>
      <c r="M89" t="str">
        <f>"34-200"</f>
        <v>34-200</v>
      </c>
      <c r="N89" t="str">
        <f>"608837744"</f>
        <v>608837744</v>
      </c>
      <c r="O89" t="s">
        <v>411</v>
      </c>
      <c r="P89" t="s">
        <v>24</v>
      </c>
    </row>
    <row r="90" spans="1:16" hidden="1" x14ac:dyDescent="0.25">
      <c r="A90">
        <v>124488</v>
      </c>
      <c r="B90" t="str">
        <f>"123197734"</f>
        <v>123197734</v>
      </c>
      <c r="C90" t="s">
        <v>25</v>
      </c>
      <c r="D90" t="s">
        <v>412</v>
      </c>
      <c r="E90" t="s">
        <v>27</v>
      </c>
      <c r="F90" t="s">
        <v>123</v>
      </c>
      <c r="G90" t="s">
        <v>141</v>
      </c>
      <c r="H90" t="s">
        <v>141</v>
      </c>
      <c r="I90" t="s">
        <v>42</v>
      </c>
      <c r="J90" t="s">
        <v>413</v>
      </c>
      <c r="K90" t="str">
        <f>"53"</f>
        <v>53</v>
      </c>
      <c r="L90" t="str">
        <f>"2"</f>
        <v>2</v>
      </c>
      <c r="M90" t="str">
        <f>"30-019"</f>
        <v>30-019</v>
      </c>
      <c r="N90" t="str">
        <f>"509494771"</f>
        <v>509494771</v>
      </c>
      <c r="O90" t="s">
        <v>414</v>
      </c>
      <c r="P90" t="s">
        <v>24</v>
      </c>
    </row>
    <row r="91" spans="1:16" x14ac:dyDescent="0.25">
      <c r="A91" s="2">
        <v>31829</v>
      </c>
      <c r="B91" s="2" t="str">
        <f>"531660946"</f>
        <v>531660946</v>
      </c>
      <c r="C91" s="2" t="s">
        <v>16</v>
      </c>
      <c r="D91" s="2" t="s">
        <v>415</v>
      </c>
      <c r="E91" s="2" t="s">
        <v>416</v>
      </c>
      <c r="F91" s="2" t="s">
        <v>417</v>
      </c>
      <c r="G91" s="2" t="s">
        <v>417</v>
      </c>
      <c r="H91" s="2" t="s">
        <v>417</v>
      </c>
      <c r="I91" s="2" t="s">
        <v>30</v>
      </c>
      <c r="J91" s="2" t="s">
        <v>418</v>
      </c>
      <c r="K91" s="2" t="str">
        <f>"19"</f>
        <v>19</v>
      </c>
      <c r="L91" s="2" t="str">
        <f>""</f>
        <v/>
      </c>
      <c r="M91" s="2" t="str">
        <f>"45-086"</f>
        <v>45-086</v>
      </c>
      <c r="N91" s="2" t="str">
        <f>"774545087"</f>
        <v>774545087</v>
      </c>
      <c r="O91" s="2" t="s">
        <v>419</v>
      </c>
      <c r="P91" s="2" t="s">
        <v>121</v>
      </c>
    </row>
    <row r="92" spans="1:16" x14ac:dyDescent="0.25">
      <c r="A92" s="2">
        <v>73986</v>
      </c>
      <c r="B92" s="2" t="str">
        <f>"331031062"</f>
        <v>331031062</v>
      </c>
      <c r="C92" s="2" t="s">
        <v>16</v>
      </c>
      <c r="D92" s="2" t="s">
        <v>420</v>
      </c>
      <c r="E92" s="2" t="s">
        <v>34</v>
      </c>
      <c r="F92" s="2" t="s">
        <v>421</v>
      </c>
      <c r="G92" s="2" t="s">
        <v>421</v>
      </c>
      <c r="H92" s="2" t="s">
        <v>421</v>
      </c>
      <c r="I92" s="2" t="s">
        <v>30</v>
      </c>
      <c r="J92" s="2" t="s">
        <v>422</v>
      </c>
      <c r="K92" s="2" t="str">
        <f>"43"</f>
        <v>43</v>
      </c>
      <c r="L92" s="2" t="str">
        <f>""</f>
        <v/>
      </c>
      <c r="M92" s="2" t="str">
        <f>"75-215"</f>
        <v>75-215</v>
      </c>
      <c r="N92" s="2" t="str">
        <f>"943430081"</f>
        <v>943430081</v>
      </c>
      <c r="O92" s="2" t="s">
        <v>423</v>
      </c>
      <c r="P92" s="2" t="s">
        <v>121</v>
      </c>
    </row>
    <row r="93" spans="1:16" x14ac:dyDescent="0.25">
      <c r="A93" s="2">
        <v>12872</v>
      </c>
      <c r="B93" s="2" t="str">
        <f>"311503200"</f>
        <v>311503200</v>
      </c>
      <c r="C93" s="2" t="s">
        <v>16</v>
      </c>
      <c r="D93" s="2" t="s">
        <v>424</v>
      </c>
      <c r="E93" s="2" t="s">
        <v>157</v>
      </c>
      <c r="F93" s="2" t="s">
        <v>425</v>
      </c>
      <c r="G93" s="2" t="s">
        <v>425</v>
      </c>
      <c r="H93" s="2" t="s">
        <v>425</v>
      </c>
      <c r="I93" s="2" t="s">
        <v>30</v>
      </c>
      <c r="J93" s="2" t="s">
        <v>426</v>
      </c>
      <c r="K93" s="2" t="str">
        <f>"12"</f>
        <v>12</v>
      </c>
      <c r="L93" s="2" t="str">
        <f>""</f>
        <v/>
      </c>
      <c r="M93" s="2" t="str">
        <f>"62-510"</f>
        <v>62-510</v>
      </c>
      <c r="N93" s="2" t="str">
        <f>"632431866"</f>
        <v>632431866</v>
      </c>
      <c r="O93" s="2" t="s">
        <v>427</v>
      </c>
      <c r="P93" s="2" t="s">
        <v>121</v>
      </c>
    </row>
    <row r="94" spans="1:16" x14ac:dyDescent="0.25">
      <c r="A94" s="2">
        <v>59748</v>
      </c>
      <c r="B94" s="2" t="str">
        <f>"371013127"</f>
        <v>371013127</v>
      </c>
      <c r="C94" s="2" t="s">
        <v>16</v>
      </c>
      <c r="D94" s="2" t="s">
        <v>428</v>
      </c>
      <c r="E94" s="2" t="s">
        <v>101</v>
      </c>
      <c r="F94" s="2" t="s">
        <v>429</v>
      </c>
      <c r="G94" s="2" t="s">
        <v>429</v>
      </c>
      <c r="H94" s="2" t="s">
        <v>429</v>
      </c>
      <c r="I94" s="2" t="s">
        <v>30</v>
      </c>
      <c r="J94" s="2" t="s">
        <v>430</v>
      </c>
      <c r="K94" s="2" t="str">
        <f>"14"</f>
        <v>14</v>
      </c>
      <c r="L94" s="2" t="str">
        <f>""</f>
        <v/>
      </c>
      <c r="M94" s="2" t="str">
        <f>"38-400"</f>
        <v>38-400</v>
      </c>
      <c r="N94" s="2" t="str">
        <f>"134320519"</f>
        <v>134320519</v>
      </c>
      <c r="O94" s="2" t="s">
        <v>431</v>
      </c>
      <c r="P94" s="2" t="s">
        <v>121</v>
      </c>
    </row>
    <row r="95" spans="1:16" x14ac:dyDescent="0.25">
      <c r="A95" s="2">
        <v>4898</v>
      </c>
      <c r="B95" s="2" t="str">
        <f>"292429107"</f>
        <v>292429107</v>
      </c>
      <c r="C95" s="2" t="s">
        <v>16</v>
      </c>
      <c r="D95" s="2" t="s">
        <v>432</v>
      </c>
      <c r="E95" s="2" t="s">
        <v>74</v>
      </c>
      <c r="F95" s="2" t="s">
        <v>433</v>
      </c>
      <c r="G95" s="2" t="s">
        <v>433</v>
      </c>
      <c r="H95" s="2" t="s">
        <v>433</v>
      </c>
      <c r="I95" s="2" t="s">
        <v>30</v>
      </c>
      <c r="J95" s="2" t="s">
        <v>434</v>
      </c>
      <c r="K95" s="2" t="str">
        <f>"16"</f>
        <v>16</v>
      </c>
      <c r="L95" s="2" t="str">
        <f>""</f>
        <v/>
      </c>
      <c r="M95" s="2" t="str">
        <f>"25-729"</f>
        <v>25-729</v>
      </c>
      <c r="N95" s="2" t="str">
        <f>"413676728"</f>
        <v>413676728</v>
      </c>
      <c r="O95" s="2" t="s">
        <v>435</v>
      </c>
      <c r="P95" s="2" t="s">
        <v>121</v>
      </c>
    </row>
    <row r="96" spans="1:16" hidden="1" x14ac:dyDescent="0.25">
      <c r="A96">
        <v>480409</v>
      </c>
      <c r="B96" t="str">
        <f>"525972484"</f>
        <v>525972484</v>
      </c>
      <c r="C96" t="s">
        <v>25</v>
      </c>
      <c r="D96" t="s">
        <v>436</v>
      </c>
      <c r="E96" t="s">
        <v>181</v>
      </c>
      <c r="F96" t="s">
        <v>437</v>
      </c>
      <c r="G96" t="s">
        <v>437</v>
      </c>
      <c r="H96" t="s">
        <v>437</v>
      </c>
      <c r="I96" t="s">
        <v>30</v>
      </c>
      <c r="J96" t="s">
        <v>438</v>
      </c>
      <c r="K96" t="str">
        <f>"74"</f>
        <v>74</v>
      </c>
      <c r="L96" t="str">
        <f>""</f>
        <v/>
      </c>
      <c r="M96" t="str">
        <f>"85-739"</f>
        <v>85-739</v>
      </c>
      <c r="N96" t="str">
        <f>"883441477"</f>
        <v>883441477</v>
      </c>
      <c r="O96" t="s">
        <v>439</v>
      </c>
      <c r="P96" t="s">
        <v>24</v>
      </c>
    </row>
    <row r="97" spans="1:16" hidden="1" x14ac:dyDescent="0.25">
      <c r="A97">
        <v>10632</v>
      </c>
      <c r="B97" t="str">
        <f>"243029981"</f>
        <v>243029981</v>
      </c>
      <c r="C97" t="s">
        <v>16</v>
      </c>
      <c r="D97" t="s">
        <v>440</v>
      </c>
      <c r="E97" t="s">
        <v>117</v>
      </c>
      <c r="F97" t="s">
        <v>118</v>
      </c>
      <c r="G97" t="s">
        <v>118</v>
      </c>
      <c r="H97" t="s">
        <v>118</v>
      </c>
      <c r="I97" t="s">
        <v>30</v>
      </c>
      <c r="J97" t="s">
        <v>441</v>
      </c>
      <c r="K97" t="str">
        <f>"44"</f>
        <v>44</v>
      </c>
      <c r="L97" t="str">
        <f>""</f>
        <v/>
      </c>
      <c r="M97" t="str">
        <f>"42-202"</f>
        <v>42-202</v>
      </c>
      <c r="N97" t="str">
        <f>"784048260"</f>
        <v>784048260</v>
      </c>
      <c r="O97" t="s">
        <v>442</v>
      </c>
      <c r="P97" t="s">
        <v>24</v>
      </c>
    </row>
    <row r="98" spans="1:16" hidden="1" x14ac:dyDescent="0.25">
      <c r="A98">
        <v>265007</v>
      </c>
      <c r="B98" t="str">
        <f>"368551249"</f>
        <v>368551249</v>
      </c>
      <c r="C98" t="s">
        <v>16</v>
      </c>
      <c r="D98" t="s">
        <v>443</v>
      </c>
      <c r="E98" t="s">
        <v>27</v>
      </c>
      <c r="F98" t="s">
        <v>123</v>
      </c>
      <c r="G98" t="s">
        <v>141</v>
      </c>
      <c r="H98" t="s">
        <v>141</v>
      </c>
      <c r="I98" t="s">
        <v>42</v>
      </c>
      <c r="J98" t="s">
        <v>444</v>
      </c>
      <c r="K98" t="str">
        <f>"4"</f>
        <v>4</v>
      </c>
      <c r="L98" t="str">
        <f>""</f>
        <v/>
      </c>
      <c r="M98" t="str">
        <f>"30-150"</f>
        <v>30-150</v>
      </c>
      <c r="N98" t="str">
        <f>"601229454"</f>
        <v>601229454</v>
      </c>
      <c r="O98" t="s">
        <v>445</v>
      </c>
      <c r="P98" t="s">
        <v>24</v>
      </c>
    </row>
    <row r="99" spans="1:16" hidden="1" x14ac:dyDescent="0.25">
      <c r="A99">
        <v>278628</v>
      </c>
      <c r="B99" t="str">
        <f>"520002924"</f>
        <v>520002924</v>
      </c>
      <c r="C99" t="s">
        <v>16</v>
      </c>
      <c r="D99" t="s">
        <v>446</v>
      </c>
      <c r="E99" t="s">
        <v>389</v>
      </c>
      <c r="F99" t="s">
        <v>447</v>
      </c>
      <c r="G99" t="s">
        <v>447</v>
      </c>
      <c r="H99" t="s">
        <v>447</v>
      </c>
      <c r="I99" t="s">
        <v>30</v>
      </c>
      <c r="J99" t="s">
        <v>448</v>
      </c>
      <c r="K99" t="str">
        <f>"23"</f>
        <v>23</v>
      </c>
      <c r="L99" t="str">
        <f>""</f>
        <v/>
      </c>
      <c r="M99" t="str">
        <f>"10-088"</f>
        <v>10-088</v>
      </c>
      <c r="N99" t="str">
        <f>"885804745"</f>
        <v>885804745</v>
      </c>
      <c r="O99" t="s">
        <v>449</v>
      </c>
      <c r="P99" t="s">
        <v>24</v>
      </c>
    </row>
    <row r="100" spans="1:16" hidden="1" x14ac:dyDescent="0.25">
      <c r="A100">
        <v>106743</v>
      </c>
      <c r="B100" t="str">
        <f>"146488528"</f>
        <v>146488528</v>
      </c>
      <c r="C100" t="s">
        <v>16</v>
      </c>
      <c r="D100" t="s">
        <v>450</v>
      </c>
      <c r="E100" t="s">
        <v>18</v>
      </c>
      <c r="F100" t="s">
        <v>451</v>
      </c>
      <c r="G100" t="s">
        <v>452</v>
      </c>
      <c r="H100" t="s">
        <v>452</v>
      </c>
      <c r="I100" t="s">
        <v>30</v>
      </c>
      <c r="J100" t="s">
        <v>453</v>
      </c>
      <c r="K100" t="str">
        <f>"1"</f>
        <v>1</v>
      </c>
      <c r="L100" t="str">
        <f>""</f>
        <v/>
      </c>
      <c r="M100" t="str">
        <f>"05-270"</f>
        <v>05-270</v>
      </c>
      <c r="N100" t="str">
        <f>"227619035"</f>
        <v>227619035</v>
      </c>
      <c r="O100" t="s">
        <v>454</v>
      </c>
      <c r="P100" t="s">
        <v>24</v>
      </c>
    </row>
    <row r="101" spans="1:16" hidden="1" x14ac:dyDescent="0.25">
      <c r="A101">
        <v>105813</v>
      </c>
      <c r="B101" t="str">
        <f>"321319322"</f>
        <v>321319322</v>
      </c>
      <c r="C101" t="s">
        <v>25</v>
      </c>
      <c r="D101" t="s">
        <v>455</v>
      </c>
      <c r="E101" t="s">
        <v>34</v>
      </c>
      <c r="F101" t="s">
        <v>35</v>
      </c>
      <c r="G101" t="s">
        <v>35</v>
      </c>
      <c r="H101" t="s">
        <v>35</v>
      </c>
      <c r="I101" t="s">
        <v>30</v>
      </c>
      <c r="J101" t="s">
        <v>456</v>
      </c>
      <c r="K101" t="str">
        <f>"10"</f>
        <v>10</v>
      </c>
      <c r="L101" t="str">
        <f>""</f>
        <v/>
      </c>
      <c r="M101" t="str">
        <f>"70-536"</f>
        <v>70-536</v>
      </c>
      <c r="N101" t="str">
        <f>"914343706"</f>
        <v>914343706</v>
      </c>
      <c r="O101" t="s">
        <v>457</v>
      </c>
      <c r="P101" t="s">
        <v>24</v>
      </c>
    </row>
    <row r="102" spans="1:16" hidden="1" x14ac:dyDescent="0.25">
      <c r="A102">
        <v>127648</v>
      </c>
      <c r="B102" t="str">
        <f>"361792180"</f>
        <v>361792180</v>
      </c>
      <c r="C102" t="s">
        <v>16</v>
      </c>
      <c r="D102" t="s">
        <v>458</v>
      </c>
      <c r="E102" t="s">
        <v>181</v>
      </c>
      <c r="F102" t="s">
        <v>437</v>
      </c>
      <c r="G102" t="s">
        <v>437</v>
      </c>
      <c r="H102" t="s">
        <v>437</v>
      </c>
      <c r="I102" t="s">
        <v>30</v>
      </c>
      <c r="J102" t="s">
        <v>459</v>
      </c>
      <c r="K102" t="str">
        <f>"11"</f>
        <v>11</v>
      </c>
      <c r="L102" t="str">
        <f>""</f>
        <v/>
      </c>
      <c r="M102" t="str">
        <f>"85-229"</f>
        <v>85-229</v>
      </c>
      <c r="N102" t="str">
        <f>"525670795"</f>
        <v>525670795</v>
      </c>
      <c r="O102" t="s">
        <v>460</v>
      </c>
      <c r="P102" t="s">
        <v>24</v>
      </c>
    </row>
    <row r="103" spans="1:16" hidden="1" x14ac:dyDescent="0.25">
      <c r="A103">
        <v>126619</v>
      </c>
      <c r="B103" t="str">
        <f>"360559091"</f>
        <v>360559091</v>
      </c>
      <c r="C103" t="s">
        <v>16</v>
      </c>
      <c r="D103" t="s">
        <v>461</v>
      </c>
      <c r="E103" t="s">
        <v>39</v>
      </c>
      <c r="F103" t="s">
        <v>462</v>
      </c>
      <c r="G103" t="s">
        <v>463</v>
      </c>
      <c r="H103" t="s">
        <v>463</v>
      </c>
      <c r="I103" t="s">
        <v>30</v>
      </c>
      <c r="J103" t="s">
        <v>464</v>
      </c>
      <c r="K103" t="str">
        <f>"115/119"</f>
        <v>115/119</v>
      </c>
      <c r="L103" t="str">
        <f>"21"</f>
        <v>21</v>
      </c>
      <c r="M103" t="str">
        <f>"95-200"</f>
        <v>95-200</v>
      </c>
      <c r="N103" t="str">
        <f>"500361506"</f>
        <v>500361506</v>
      </c>
      <c r="O103" t="s">
        <v>465</v>
      </c>
      <c r="P103" t="s">
        <v>24</v>
      </c>
    </row>
    <row r="104" spans="1:16" hidden="1" x14ac:dyDescent="0.25">
      <c r="A104">
        <v>478667</v>
      </c>
      <c r="B104" t="str">
        <f>"523030973"</f>
        <v>523030973</v>
      </c>
      <c r="C104" t="s">
        <v>16</v>
      </c>
      <c r="D104" t="s">
        <v>467</v>
      </c>
      <c r="E104" t="s">
        <v>27</v>
      </c>
      <c r="F104" t="s">
        <v>468</v>
      </c>
      <c r="G104" t="s">
        <v>469</v>
      </c>
      <c r="H104" t="s">
        <v>469</v>
      </c>
      <c r="I104" t="s">
        <v>30</v>
      </c>
      <c r="J104" t="s">
        <v>470</v>
      </c>
      <c r="K104" t="str">
        <f>"1"</f>
        <v>1</v>
      </c>
      <c r="L104" t="str">
        <f>""</f>
        <v/>
      </c>
      <c r="M104" t="str">
        <f>"34-730"</f>
        <v>34-730</v>
      </c>
      <c r="N104" t="str">
        <f>"515096606"</f>
        <v>515096606</v>
      </c>
      <c r="O104" t="s">
        <v>471</v>
      </c>
      <c r="P104" t="s">
        <v>24</v>
      </c>
    </row>
    <row r="105" spans="1:16" hidden="1" x14ac:dyDescent="0.25">
      <c r="A105">
        <v>125095</v>
      </c>
      <c r="B105" t="str">
        <f>"081238307"</f>
        <v>081238307</v>
      </c>
      <c r="C105" t="s">
        <v>16</v>
      </c>
      <c r="D105" t="s">
        <v>472</v>
      </c>
      <c r="E105" t="s">
        <v>240</v>
      </c>
      <c r="F105" t="s">
        <v>473</v>
      </c>
      <c r="G105" t="s">
        <v>473</v>
      </c>
      <c r="H105" t="s">
        <v>473</v>
      </c>
      <c r="I105" t="s">
        <v>30</v>
      </c>
      <c r="J105" t="s">
        <v>474</v>
      </c>
      <c r="K105" t="str">
        <f>"12c"</f>
        <v>12c</v>
      </c>
      <c r="L105" t="str">
        <f>"5"</f>
        <v>5</v>
      </c>
      <c r="M105" t="str">
        <f>"66-400"</f>
        <v>66-400</v>
      </c>
      <c r="N105" t="str">
        <f>"957835181"</f>
        <v>957835181</v>
      </c>
      <c r="O105" t="s">
        <v>475</v>
      </c>
      <c r="P105" t="s">
        <v>24</v>
      </c>
    </row>
    <row r="106" spans="1:16" hidden="1" x14ac:dyDescent="0.25">
      <c r="A106">
        <v>128640</v>
      </c>
      <c r="B106" t="str">
        <f>"362338425"</f>
        <v>362338425</v>
      </c>
      <c r="C106" t="s">
        <v>16</v>
      </c>
      <c r="D106" t="s">
        <v>472</v>
      </c>
      <c r="E106" t="s">
        <v>157</v>
      </c>
      <c r="F106" t="s">
        <v>476</v>
      </c>
      <c r="G106" t="s">
        <v>477</v>
      </c>
      <c r="H106" t="s">
        <v>477</v>
      </c>
      <c r="I106" t="s">
        <v>30</v>
      </c>
      <c r="J106" t="s">
        <v>478</v>
      </c>
      <c r="K106" t="str">
        <f>"17"</f>
        <v>17</v>
      </c>
      <c r="L106" t="str">
        <f>""</f>
        <v/>
      </c>
      <c r="M106" t="str">
        <f>"63-400"</f>
        <v>63-400</v>
      </c>
      <c r="N106" t="str">
        <f>"501688566"</f>
        <v>501688566</v>
      </c>
      <c r="O106" t="s">
        <v>479</v>
      </c>
      <c r="P106" t="s">
        <v>24</v>
      </c>
    </row>
    <row r="107" spans="1:16" hidden="1" x14ac:dyDescent="0.25">
      <c r="A107">
        <v>263970</v>
      </c>
      <c r="B107" t="str">
        <f>"368246150"</f>
        <v>368246150</v>
      </c>
      <c r="C107" t="s">
        <v>16</v>
      </c>
      <c r="D107" t="s">
        <v>472</v>
      </c>
      <c r="E107" t="s">
        <v>157</v>
      </c>
      <c r="F107" t="s">
        <v>482</v>
      </c>
      <c r="G107" t="s">
        <v>483</v>
      </c>
      <c r="H107" t="s">
        <v>483</v>
      </c>
      <c r="I107" t="s">
        <v>30</v>
      </c>
      <c r="J107" t="s">
        <v>484</v>
      </c>
      <c r="K107" t="str">
        <f>"5"</f>
        <v>5</v>
      </c>
      <c r="L107" t="str">
        <f>""</f>
        <v/>
      </c>
      <c r="M107" t="str">
        <f>"64-920"</f>
        <v>64-920</v>
      </c>
      <c r="N107" t="str">
        <f>"672148401"</f>
        <v>672148401</v>
      </c>
      <c r="O107" t="s">
        <v>485</v>
      </c>
      <c r="P107" t="s">
        <v>24</v>
      </c>
    </row>
    <row r="108" spans="1:16" hidden="1" x14ac:dyDescent="0.25">
      <c r="A108">
        <v>481891</v>
      </c>
      <c r="B108" t="str">
        <f>"528688298"</f>
        <v>528688298</v>
      </c>
      <c r="C108" t="s">
        <v>16</v>
      </c>
      <c r="D108" t="s">
        <v>472</v>
      </c>
      <c r="E108" t="s">
        <v>18</v>
      </c>
      <c r="F108" t="s">
        <v>486</v>
      </c>
      <c r="G108" t="s">
        <v>487</v>
      </c>
      <c r="H108" t="s">
        <v>487</v>
      </c>
      <c r="I108" t="s">
        <v>30</v>
      </c>
      <c r="J108" t="s">
        <v>488</v>
      </c>
      <c r="K108" t="str">
        <f>"81"</f>
        <v>81</v>
      </c>
      <c r="L108" t="str">
        <f>"220"</f>
        <v>220</v>
      </c>
      <c r="M108" t="str">
        <f>"05-070"</f>
        <v>05-070</v>
      </c>
      <c r="N108" t="str">
        <f>"501040857"</f>
        <v>501040857</v>
      </c>
      <c r="O108" t="s">
        <v>489</v>
      </c>
      <c r="P108" t="s">
        <v>24</v>
      </c>
    </row>
    <row r="109" spans="1:16" hidden="1" x14ac:dyDescent="0.25">
      <c r="A109">
        <v>122028</v>
      </c>
      <c r="B109" t="str">
        <f>"101733457"</f>
        <v>101733457</v>
      </c>
      <c r="C109" t="s">
        <v>16</v>
      </c>
      <c r="D109" t="s">
        <v>490</v>
      </c>
      <c r="E109" t="s">
        <v>39</v>
      </c>
      <c r="F109" t="s">
        <v>462</v>
      </c>
      <c r="G109" t="s">
        <v>463</v>
      </c>
      <c r="H109" t="s">
        <v>463</v>
      </c>
      <c r="I109" t="s">
        <v>30</v>
      </c>
      <c r="J109" t="s">
        <v>491</v>
      </c>
      <c r="K109" t="str">
        <f>"13/17"</f>
        <v>13/17</v>
      </c>
      <c r="L109" t="str">
        <f>""</f>
        <v/>
      </c>
      <c r="M109" t="str">
        <f>"95-200"</f>
        <v>95-200</v>
      </c>
      <c r="N109" t="str">
        <f>"500361506"</f>
        <v>500361506</v>
      </c>
      <c r="O109" t="s">
        <v>492</v>
      </c>
      <c r="P109" t="s">
        <v>24</v>
      </c>
    </row>
    <row r="110" spans="1:16" hidden="1" x14ac:dyDescent="0.25">
      <c r="A110">
        <v>130294</v>
      </c>
      <c r="B110" t="str">
        <f>"363784339"</f>
        <v>363784339</v>
      </c>
      <c r="C110" t="s">
        <v>16</v>
      </c>
      <c r="D110" t="s">
        <v>493</v>
      </c>
      <c r="E110" t="s">
        <v>39</v>
      </c>
      <c r="F110" t="s">
        <v>494</v>
      </c>
      <c r="G110" t="s">
        <v>495</v>
      </c>
      <c r="H110" t="s">
        <v>495</v>
      </c>
      <c r="I110" t="s">
        <v>30</v>
      </c>
      <c r="J110" t="s">
        <v>351</v>
      </c>
      <c r="K110" t="str">
        <f>"97"</f>
        <v>97</v>
      </c>
      <c r="L110" t="str">
        <f>""</f>
        <v/>
      </c>
      <c r="M110" t="str">
        <f>"97-200"</f>
        <v>97-200</v>
      </c>
      <c r="N110" t="str">
        <f>"733410960"</f>
        <v>733410960</v>
      </c>
      <c r="O110" t="s">
        <v>496</v>
      </c>
      <c r="P110" t="s">
        <v>24</v>
      </c>
    </row>
    <row r="111" spans="1:16" hidden="1" x14ac:dyDescent="0.25">
      <c r="A111">
        <v>480920</v>
      </c>
      <c r="B111" t="str">
        <f>"526431810"</f>
        <v>526431810</v>
      </c>
      <c r="C111" t="s">
        <v>16</v>
      </c>
      <c r="D111" t="s">
        <v>497</v>
      </c>
      <c r="E111" t="s">
        <v>18</v>
      </c>
      <c r="F111" t="s">
        <v>498</v>
      </c>
      <c r="G111" t="s">
        <v>499</v>
      </c>
      <c r="H111" t="s">
        <v>499</v>
      </c>
      <c r="I111" t="s">
        <v>30</v>
      </c>
      <c r="J111" t="s">
        <v>500</v>
      </c>
      <c r="K111" t="str">
        <f>"27a"</f>
        <v>27a</v>
      </c>
      <c r="L111" t="str">
        <f>""</f>
        <v/>
      </c>
      <c r="M111" t="str">
        <f>"26-900"</f>
        <v>26-900</v>
      </c>
      <c r="N111" t="str">
        <f>"797643926"</f>
        <v>797643926</v>
      </c>
      <c r="O111" t="s">
        <v>501</v>
      </c>
      <c r="P111" t="s">
        <v>24</v>
      </c>
    </row>
    <row r="112" spans="1:16" hidden="1" x14ac:dyDescent="0.25">
      <c r="A112">
        <v>130320</v>
      </c>
      <c r="B112" t="str">
        <f>"363841617"</f>
        <v>363841617</v>
      </c>
      <c r="C112" t="s">
        <v>16</v>
      </c>
      <c r="D112" t="s">
        <v>503</v>
      </c>
      <c r="E112" t="s">
        <v>97</v>
      </c>
      <c r="F112" t="s">
        <v>164</v>
      </c>
      <c r="G112" t="s">
        <v>504</v>
      </c>
      <c r="H112" t="s">
        <v>504</v>
      </c>
      <c r="I112" t="s">
        <v>30</v>
      </c>
      <c r="J112" t="s">
        <v>138</v>
      </c>
      <c r="K112" t="str">
        <f>"110"</f>
        <v>110</v>
      </c>
      <c r="L112" t="str">
        <f>""</f>
        <v/>
      </c>
      <c r="M112" t="str">
        <f>"17-100"</f>
        <v>17-100</v>
      </c>
      <c r="N112" t="str">
        <f>"790310177"</f>
        <v>790310177</v>
      </c>
      <c r="O112" t="s">
        <v>505</v>
      </c>
      <c r="P112" t="s">
        <v>24</v>
      </c>
    </row>
    <row r="113" spans="1:16" hidden="1" x14ac:dyDescent="0.25">
      <c r="A113">
        <v>122368</v>
      </c>
      <c r="B113" t="str">
        <f>"147137386"</f>
        <v>147137386</v>
      </c>
      <c r="C113" t="s">
        <v>16</v>
      </c>
      <c r="D113" t="s">
        <v>506</v>
      </c>
      <c r="E113" t="s">
        <v>18</v>
      </c>
      <c r="F113" t="s">
        <v>507</v>
      </c>
      <c r="G113" t="s">
        <v>508</v>
      </c>
      <c r="H113" t="s">
        <v>508</v>
      </c>
      <c r="I113" t="s">
        <v>68</v>
      </c>
      <c r="J113" t="s">
        <v>509</v>
      </c>
      <c r="K113" t="str">
        <f>"19"</f>
        <v>19</v>
      </c>
      <c r="L113" t="str">
        <f>""</f>
        <v/>
      </c>
      <c r="M113" t="str">
        <f>"05-090"</f>
        <v>05-090</v>
      </c>
      <c r="N113" t="str">
        <f>"602664342"</f>
        <v>602664342</v>
      </c>
      <c r="O113" t="s">
        <v>510</v>
      </c>
      <c r="P113" t="s">
        <v>24</v>
      </c>
    </row>
    <row r="114" spans="1:16" hidden="1" x14ac:dyDescent="0.25">
      <c r="A114">
        <v>128440</v>
      </c>
      <c r="B114" t="str">
        <f>"362280772"</f>
        <v>362280772</v>
      </c>
      <c r="C114" t="s">
        <v>16</v>
      </c>
      <c r="D114" t="s">
        <v>511</v>
      </c>
      <c r="E114" t="s">
        <v>18</v>
      </c>
      <c r="F114" t="s">
        <v>512</v>
      </c>
      <c r="G114" t="s">
        <v>513</v>
      </c>
      <c r="H114" t="s">
        <v>513</v>
      </c>
      <c r="I114" t="s">
        <v>30</v>
      </c>
      <c r="J114" t="s">
        <v>514</v>
      </c>
      <c r="K114" t="str">
        <f>"29"</f>
        <v>29</v>
      </c>
      <c r="L114" t="str">
        <f>""</f>
        <v/>
      </c>
      <c r="M114" t="str">
        <f>"08-300"</f>
        <v>08-300</v>
      </c>
      <c r="N114" t="str">
        <f>"600325650"</f>
        <v>600325650</v>
      </c>
      <c r="O114" t="s">
        <v>515</v>
      </c>
      <c r="P114" t="s">
        <v>24</v>
      </c>
    </row>
    <row r="115" spans="1:16" hidden="1" x14ac:dyDescent="0.25">
      <c r="A115">
        <v>128596</v>
      </c>
      <c r="B115" t="str">
        <f>"362335438"</f>
        <v>362335438</v>
      </c>
      <c r="C115" t="s">
        <v>16</v>
      </c>
      <c r="D115" t="s">
        <v>516</v>
      </c>
      <c r="E115" t="s">
        <v>97</v>
      </c>
      <c r="F115" t="s">
        <v>517</v>
      </c>
      <c r="G115" t="s">
        <v>518</v>
      </c>
      <c r="H115" t="s">
        <v>518</v>
      </c>
      <c r="I115" t="s">
        <v>30</v>
      </c>
      <c r="J115" t="s">
        <v>519</v>
      </c>
      <c r="K115" t="str">
        <f>"25A"</f>
        <v>25A</v>
      </c>
      <c r="L115" t="str">
        <f>""</f>
        <v/>
      </c>
      <c r="M115" t="str">
        <f>"16-010"</f>
        <v>16-010</v>
      </c>
      <c r="N115" t="str">
        <f>"857222655"</f>
        <v>857222655</v>
      </c>
      <c r="O115" t="s">
        <v>520</v>
      </c>
      <c r="P115" t="s">
        <v>24</v>
      </c>
    </row>
    <row r="116" spans="1:16" hidden="1" x14ac:dyDescent="0.25">
      <c r="A116">
        <v>264618</v>
      </c>
      <c r="B116" t="str">
        <f>"368398813"</f>
        <v>368398813</v>
      </c>
      <c r="C116" t="s">
        <v>16</v>
      </c>
      <c r="D116" t="s">
        <v>521</v>
      </c>
      <c r="E116" t="s">
        <v>157</v>
      </c>
      <c r="F116" t="s">
        <v>162</v>
      </c>
      <c r="G116" t="s">
        <v>308</v>
      </c>
      <c r="H116" t="s">
        <v>522</v>
      </c>
      <c r="I116" t="s">
        <v>68</v>
      </c>
      <c r="J116" t="s">
        <v>523</v>
      </c>
      <c r="K116" t="str">
        <f>"1"</f>
        <v>1</v>
      </c>
      <c r="L116" t="str">
        <f>""</f>
        <v/>
      </c>
      <c r="M116" t="str">
        <f>"62-023"</f>
        <v>62-023</v>
      </c>
      <c r="N116" t="str">
        <f>"885305669"</f>
        <v>885305669</v>
      </c>
      <c r="O116" t="s">
        <v>524</v>
      </c>
      <c r="P116" t="s">
        <v>24</v>
      </c>
    </row>
    <row r="117" spans="1:16" hidden="1" x14ac:dyDescent="0.25">
      <c r="A117">
        <v>123857</v>
      </c>
      <c r="B117" t="str">
        <f>"281612544"</f>
        <v>281612544</v>
      </c>
      <c r="C117" t="s">
        <v>16</v>
      </c>
      <c r="D117" t="s">
        <v>525</v>
      </c>
      <c r="E117" t="s">
        <v>389</v>
      </c>
      <c r="F117" t="s">
        <v>526</v>
      </c>
      <c r="G117" t="s">
        <v>526</v>
      </c>
      <c r="H117" t="s">
        <v>526</v>
      </c>
      <c r="I117" t="s">
        <v>30</v>
      </c>
      <c r="J117" t="s">
        <v>527</v>
      </c>
      <c r="K117" t="str">
        <f>"5"</f>
        <v>5</v>
      </c>
      <c r="L117" t="str">
        <f>"36"</f>
        <v>36</v>
      </c>
      <c r="M117" t="str">
        <f>"82-300"</f>
        <v>82-300</v>
      </c>
      <c r="N117" t="str">
        <f>"0943070124"</f>
        <v>0943070124</v>
      </c>
      <c r="O117" t="s">
        <v>528</v>
      </c>
      <c r="P117" t="s">
        <v>24</v>
      </c>
    </row>
    <row r="118" spans="1:16" hidden="1" x14ac:dyDescent="0.25">
      <c r="A118">
        <v>125216</v>
      </c>
      <c r="B118" t="str">
        <f>"321575137"</f>
        <v>321575137</v>
      </c>
      <c r="C118" t="s">
        <v>16</v>
      </c>
      <c r="D118" t="s">
        <v>525</v>
      </c>
      <c r="E118" t="s">
        <v>34</v>
      </c>
      <c r="F118" t="s">
        <v>531</v>
      </c>
      <c r="G118" t="s">
        <v>532</v>
      </c>
      <c r="H118" t="s">
        <v>532</v>
      </c>
      <c r="I118" t="s">
        <v>30</v>
      </c>
      <c r="J118" t="s">
        <v>533</v>
      </c>
      <c r="K118" t="str">
        <f>"3"</f>
        <v>3</v>
      </c>
      <c r="L118" t="str">
        <f>""</f>
        <v/>
      </c>
      <c r="M118" t="str">
        <f>"78-100"</f>
        <v>78-100</v>
      </c>
      <c r="N118" t="str">
        <f>"531740007"</f>
        <v>531740007</v>
      </c>
      <c r="O118" t="s">
        <v>528</v>
      </c>
      <c r="P118" t="s">
        <v>24</v>
      </c>
    </row>
    <row r="119" spans="1:16" hidden="1" x14ac:dyDescent="0.25">
      <c r="A119">
        <v>125214</v>
      </c>
      <c r="B119" t="str">
        <f>"222163061"</f>
        <v>222163061</v>
      </c>
      <c r="C119" t="s">
        <v>16</v>
      </c>
      <c r="D119" t="s">
        <v>525</v>
      </c>
      <c r="E119" t="s">
        <v>80</v>
      </c>
      <c r="F119" t="s">
        <v>534</v>
      </c>
      <c r="G119" t="s">
        <v>535</v>
      </c>
      <c r="H119" t="s">
        <v>535</v>
      </c>
      <c r="I119" t="s">
        <v>30</v>
      </c>
      <c r="J119" t="s">
        <v>536</v>
      </c>
      <c r="K119" t="str">
        <f>"8"</f>
        <v>8</v>
      </c>
      <c r="L119" t="str">
        <f>""</f>
        <v/>
      </c>
      <c r="M119" t="str">
        <f>"77-310"</f>
        <v>77-310</v>
      </c>
      <c r="N119" t="str">
        <f>""</f>
        <v/>
      </c>
      <c r="O119" t="s">
        <v>537</v>
      </c>
      <c r="P119" t="s">
        <v>24</v>
      </c>
    </row>
    <row r="120" spans="1:16" hidden="1" x14ac:dyDescent="0.25">
      <c r="A120">
        <v>123911</v>
      </c>
      <c r="B120" t="str">
        <f>"321556826"</f>
        <v>321556826</v>
      </c>
      <c r="C120" t="s">
        <v>16</v>
      </c>
      <c r="D120" t="s">
        <v>525</v>
      </c>
      <c r="E120" t="s">
        <v>34</v>
      </c>
      <c r="F120" t="s">
        <v>538</v>
      </c>
      <c r="G120" t="s">
        <v>539</v>
      </c>
      <c r="H120" t="s">
        <v>539</v>
      </c>
      <c r="I120" t="s">
        <v>30</v>
      </c>
      <c r="J120" t="s">
        <v>540</v>
      </c>
      <c r="K120" t="str">
        <f>"3"</f>
        <v>3</v>
      </c>
      <c r="L120" t="str">
        <f>""</f>
        <v/>
      </c>
      <c r="M120" t="str">
        <f>"78-600"</f>
        <v>78-600</v>
      </c>
      <c r="N120" t="str">
        <f>"531740007"</f>
        <v>531740007</v>
      </c>
      <c r="P120" t="s">
        <v>24</v>
      </c>
    </row>
    <row r="121" spans="1:16" hidden="1" x14ac:dyDescent="0.25">
      <c r="A121">
        <v>119699</v>
      </c>
      <c r="B121" t="str">
        <f>"302521633"</f>
        <v>302521633</v>
      </c>
      <c r="C121" t="s">
        <v>16</v>
      </c>
      <c r="D121" t="s">
        <v>541</v>
      </c>
      <c r="E121" t="s">
        <v>157</v>
      </c>
      <c r="F121" t="s">
        <v>542</v>
      </c>
      <c r="G121" t="s">
        <v>543</v>
      </c>
      <c r="H121" t="s">
        <v>543</v>
      </c>
      <c r="I121" t="s">
        <v>30</v>
      </c>
      <c r="J121" t="s">
        <v>544</v>
      </c>
      <c r="K121" t="str">
        <f>"2a"</f>
        <v>2a</v>
      </c>
      <c r="L121" t="str">
        <f>""</f>
        <v/>
      </c>
      <c r="M121" t="str">
        <f>"77-400"</f>
        <v>77-400</v>
      </c>
      <c r="N121" t="str">
        <f>"531740007"</f>
        <v>531740007</v>
      </c>
      <c r="O121" t="s">
        <v>528</v>
      </c>
      <c r="P121" t="s">
        <v>24</v>
      </c>
    </row>
    <row r="122" spans="1:16" hidden="1" x14ac:dyDescent="0.25">
      <c r="A122">
        <v>264899</v>
      </c>
      <c r="B122" t="str">
        <f>"368505261"</f>
        <v>368505261</v>
      </c>
      <c r="C122" t="s">
        <v>16</v>
      </c>
      <c r="D122" t="s">
        <v>545</v>
      </c>
      <c r="E122" t="s">
        <v>39</v>
      </c>
      <c r="F122" t="s">
        <v>462</v>
      </c>
      <c r="G122" t="s">
        <v>463</v>
      </c>
      <c r="H122" t="s">
        <v>463</v>
      </c>
      <c r="I122" t="s">
        <v>30</v>
      </c>
      <c r="J122" t="s">
        <v>546</v>
      </c>
      <c r="K122" t="str">
        <f>"32"</f>
        <v>32</v>
      </c>
      <c r="L122" t="str">
        <f>""</f>
        <v/>
      </c>
      <c r="M122" t="str">
        <f>"95-200"</f>
        <v>95-200</v>
      </c>
      <c r="N122" t="str">
        <f>"502314295"</f>
        <v>502314295</v>
      </c>
      <c r="O122" t="s">
        <v>547</v>
      </c>
      <c r="P122" t="s">
        <v>24</v>
      </c>
    </row>
    <row r="123" spans="1:16" hidden="1" x14ac:dyDescent="0.25">
      <c r="A123">
        <v>481090</v>
      </c>
      <c r="B123" t="str">
        <f>"526496070"</f>
        <v>526496070</v>
      </c>
      <c r="C123" t="s">
        <v>16</v>
      </c>
      <c r="D123" t="s">
        <v>548</v>
      </c>
      <c r="E123" t="s">
        <v>80</v>
      </c>
      <c r="F123" t="s">
        <v>549</v>
      </c>
      <c r="G123" t="s">
        <v>550</v>
      </c>
      <c r="H123" t="s">
        <v>550</v>
      </c>
      <c r="I123" t="s">
        <v>30</v>
      </c>
      <c r="J123" t="s">
        <v>551</v>
      </c>
      <c r="K123" t="str">
        <f>"1A"</f>
        <v>1A</v>
      </c>
      <c r="L123" t="str">
        <f>"1LU-2LU"</f>
        <v>1LU-2LU</v>
      </c>
      <c r="M123" t="str">
        <f>"84-300"</f>
        <v>84-300</v>
      </c>
      <c r="N123" t="str">
        <f>"514940677"</f>
        <v>514940677</v>
      </c>
      <c r="O123" t="s">
        <v>552</v>
      </c>
      <c r="P123" t="s">
        <v>24</v>
      </c>
    </row>
    <row r="124" spans="1:16" hidden="1" x14ac:dyDescent="0.25">
      <c r="A124">
        <v>480799</v>
      </c>
      <c r="B124" t="str">
        <f>"526321091"</f>
        <v>526321091</v>
      </c>
      <c r="C124" t="s">
        <v>16</v>
      </c>
      <c r="D124" t="s">
        <v>553</v>
      </c>
      <c r="E124" t="s">
        <v>27</v>
      </c>
      <c r="F124" t="s">
        <v>554</v>
      </c>
      <c r="G124" t="s">
        <v>555</v>
      </c>
      <c r="H124" t="s">
        <v>555</v>
      </c>
      <c r="I124" t="s">
        <v>30</v>
      </c>
      <c r="J124" t="s">
        <v>556</v>
      </c>
      <c r="K124" t="str">
        <f>"1"</f>
        <v>1</v>
      </c>
      <c r="L124" t="str">
        <f>"1"</f>
        <v>1</v>
      </c>
      <c r="M124" t="str">
        <f>"32-020"</f>
        <v>32-020</v>
      </c>
      <c r="N124" t="str">
        <f>"781801801"</f>
        <v>781801801</v>
      </c>
      <c r="O124" t="s">
        <v>557</v>
      </c>
      <c r="P124" t="s">
        <v>24</v>
      </c>
    </row>
    <row r="125" spans="1:16" hidden="1" x14ac:dyDescent="0.25">
      <c r="A125">
        <v>273067</v>
      </c>
      <c r="B125" t="str">
        <f>"384366114"</f>
        <v>384366114</v>
      </c>
      <c r="C125" t="s">
        <v>16</v>
      </c>
      <c r="D125" t="s">
        <v>558</v>
      </c>
      <c r="E125" t="s">
        <v>18</v>
      </c>
      <c r="F125" t="s">
        <v>373</v>
      </c>
      <c r="G125" t="s">
        <v>559</v>
      </c>
      <c r="H125" t="s">
        <v>559</v>
      </c>
      <c r="I125" t="s">
        <v>30</v>
      </c>
      <c r="J125" t="s">
        <v>560</v>
      </c>
      <c r="K125" t="str">
        <f>"24"</f>
        <v>24</v>
      </c>
      <c r="L125" t="str">
        <f>""</f>
        <v/>
      </c>
      <c r="M125" t="str">
        <f>"05-140"</f>
        <v>05-140</v>
      </c>
      <c r="N125" t="str">
        <f>""</f>
        <v/>
      </c>
      <c r="O125" t="s">
        <v>561</v>
      </c>
      <c r="P125" t="s">
        <v>24</v>
      </c>
    </row>
    <row r="126" spans="1:16" hidden="1" x14ac:dyDescent="0.25">
      <c r="A126">
        <v>272021</v>
      </c>
      <c r="B126" t="str">
        <f>"383875598"</f>
        <v>383875598</v>
      </c>
      <c r="C126" t="s">
        <v>16</v>
      </c>
      <c r="D126" t="s">
        <v>563</v>
      </c>
      <c r="E126" t="s">
        <v>18</v>
      </c>
      <c r="F126" t="s">
        <v>363</v>
      </c>
      <c r="G126" t="s">
        <v>363</v>
      </c>
      <c r="H126" t="s">
        <v>363</v>
      </c>
      <c r="I126" t="s">
        <v>30</v>
      </c>
      <c r="J126" t="s">
        <v>564</v>
      </c>
      <c r="K126" t="str">
        <f>"47"</f>
        <v>47</v>
      </c>
      <c r="L126" t="str">
        <f>""</f>
        <v/>
      </c>
      <c r="M126" t="str">
        <f>"08-110"</f>
        <v>08-110</v>
      </c>
      <c r="N126" t="str">
        <f>"508377753"</f>
        <v>508377753</v>
      </c>
      <c r="O126" t="s">
        <v>565</v>
      </c>
      <c r="P126" t="s">
        <v>24</v>
      </c>
    </row>
    <row r="127" spans="1:16" hidden="1" x14ac:dyDescent="0.25">
      <c r="A127">
        <v>478121</v>
      </c>
      <c r="B127" t="str">
        <f>"522250951"</f>
        <v>522250951</v>
      </c>
      <c r="C127" t="s">
        <v>16</v>
      </c>
      <c r="D127" t="s">
        <v>566</v>
      </c>
      <c r="E127" t="s">
        <v>80</v>
      </c>
      <c r="F127" t="s">
        <v>567</v>
      </c>
      <c r="G127" t="s">
        <v>568</v>
      </c>
      <c r="H127" t="s">
        <v>568</v>
      </c>
      <c r="I127" t="s">
        <v>30</v>
      </c>
      <c r="J127" t="s">
        <v>569</v>
      </c>
      <c r="K127" t="str">
        <f>"6"</f>
        <v>6</v>
      </c>
      <c r="L127" t="str">
        <f>"2"</f>
        <v>2</v>
      </c>
      <c r="M127" t="str">
        <f>"83-300"</f>
        <v>83-300</v>
      </c>
      <c r="N127" t="str">
        <f>"786019808"</f>
        <v>786019808</v>
      </c>
      <c r="O127" t="s">
        <v>570</v>
      </c>
      <c r="P127" t="s">
        <v>24</v>
      </c>
    </row>
    <row r="128" spans="1:16" hidden="1" x14ac:dyDescent="0.25">
      <c r="A128">
        <v>277319</v>
      </c>
      <c r="B128" t="str">
        <f>"388618452"</f>
        <v>388618452</v>
      </c>
      <c r="C128" t="s">
        <v>16</v>
      </c>
      <c r="D128" t="s">
        <v>572</v>
      </c>
      <c r="E128" t="s">
        <v>18</v>
      </c>
      <c r="F128" t="s">
        <v>486</v>
      </c>
      <c r="G128" t="s">
        <v>487</v>
      </c>
      <c r="H128" t="s">
        <v>487</v>
      </c>
      <c r="I128" t="s">
        <v>30</v>
      </c>
      <c r="J128" t="s">
        <v>444</v>
      </c>
      <c r="K128" t="str">
        <f>"34"</f>
        <v>34</v>
      </c>
      <c r="L128" t="str">
        <f>""</f>
        <v/>
      </c>
      <c r="M128" t="str">
        <f>"05-071"</f>
        <v>05-071</v>
      </c>
      <c r="N128" t="str">
        <f>"695343635"</f>
        <v>695343635</v>
      </c>
      <c r="O128" t="s">
        <v>573</v>
      </c>
      <c r="P128" t="s">
        <v>24</v>
      </c>
    </row>
    <row r="129" spans="1:16" hidden="1" x14ac:dyDescent="0.25">
      <c r="A129">
        <v>270723</v>
      </c>
      <c r="B129" t="str">
        <f>"382872126"</f>
        <v>382872126</v>
      </c>
      <c r="C129" t="s">
        <v>16</v>
      </c>
      <c r="D129" t="s">
        <v>574</v>
      </c>
      <c r="E129" t="s">
        <v>157</v>
      </c>
      <c r="F129" t="s">
        <v>476</v>
      </c>
      <c r="G129" t="s">
        <v>477</v>
      </c>
      <c r="H129" t="s">
        <v>477</v>
      </c>
      <c r="I129" t="s">
        <v>30</v>
      </c>
      <c r="J129" t="s">
        <v>575</v>
      </c>
      <c r="K129" t="str">
        <f>"157"</f>
        <v>157</v>
      </c>
      <c r="L129" t="str">
        <f>""</f>
        <v/>
      </c>
      <c r="M129" t="str">
        <f>"63-400"</f>
        <v>63-400</v>
      </c>
      <c r="N129" t="str">
        <f>"515196612"</f>
        <v>515196612</v>
      </c>
      <c r="O129" t="s">
        <v>576</v>
      </c>
      <c r="P129" t="s">
        <v>24</v>
      </c>
    </row>
    <row r="130" spans="1:16" hidden="1" x14ac:dyDescent="0.25">
      <c r="A130">
        <v>481502</v>
      </c>
      <c r="B130" t="str">
        <f>"527384521"</f>
        <v>527384521</v>
      </c>
      <c r="C130" t="s">
        <v>16</v>
      </c>
      <c r="D130" t="s">
        <v>577</v>
      </c>
      <c r="E130" t="s">
        <v>97</v>
      </c>
      <c r="F130" t="s">
        <v>578</v>
      </c>
      <c r="G130" t="s">
        <v>578</v>
      </c>
      <c r="H130" t="s">
        <v>578</v>
      </c>
      <c r="I130" t="s">
        <v>30</v>
      </c>
      <c r="J130" t="s">
        <v>579</v>
      </c>
      <c r="K130" t="str">
        <f>"12"</f>
        <v>12</v>
      </c>
      <c r="L130" t="str">
        <f>""</f>
        <v/>
      </c>
      <c r="M130" t="str">
        <f>"18-400"</f>
        <v>18-400</v>
      </c>
      <c r="N130" t="str">
        <f>"606483796"</f>
        <v>606483796</v>
      </c>
      <c r="P130" t="s">
        <v>24</v>
      </c>
    </row>
    <row r="131" spans="1:16" hidden="1" x14ac:dyDescent="0.25">
      <c r="A131">
        <v>121663</v>
      </c>
      <c r="B131" t="str">
        <f>"302636610"</f>
        <v>302636610</v>
      </c>
      <c r="C131" t="s">
        <v>16</v>
      </c>
      <c r="D131" t="s">
        <v>580</v>
      </c>
      <c r="E131" t="s">
        <v>157</v>
      </c>
      <c r="F131" t="s">
        <v>476</v>
      </c>
      <c r="G131" t="s">
        <v>477</v>
      </c>
      <c r="H131" t="s">
        <v>477</v>
      </c>
      <c r="I131" t="s">
        <v>30</v>
      </c>
      <c r="J131" t="s">
        <v>581</v>
      </c>
      <c r="K131" t="str">
        <f>"35a"</f>
        <v>35a</v>
      </c>
      <c r="L131" t="str">
        <f>""</f>
        <v/>
      </c>
      <c r="M131" t="str">
        <f>"63-400"</f>
        <v>63-400</v>
      </c>
      <c r="N131" t="str">
        <f>"602679732"</f>
        <v>602679732</v>
      </c>
      <c r="O131" t="s">
        <v>582</v>
      </c>
      <c r="P131" t="s">
        <v>24</v>
      </c>
    </row>
    <row r="132" spans="1:16" hidden="1" x14ac:dyDescent="0.25">
      <c r="A132">
        <v>131109</v>
      </c>
      <c r="B132" t="str">
        <f>"364944302"</f>
        <v>364944302</v>
      </c>
      <c r="C132" t="s">
        <v>16</v>
      </c>
      <c r="D132" t="s">
        <v>583</v>
      </c>
      <c r="E132" t="s">
        <v>18</v>
      </c>
      <c r="F132" t="s">
        <v>507</v>
      </c>
      <c r="G132" t="s">
        <v>584</v>
      </c>
      <c r="H132" t="s">
        <v>584</v>
      </c>
      <c r="I132" t="s">
        <v>30</v>
      </c>
      <c r="J132" t="s">
        <v>585</v>
      </c>
      <c r="K132" t="str">
        <f>"39 A"</f>
        <v>39 A</v>
      </c>
      <c r="L132" t="str">
        <f>""</f>
        <v/>
      </c>
      <c r="M132" t="str">
        <f>"05-800"</f>
        <v>05-800</v>
      </c>
      <c r="N132" t="str">
        <f>"664246890"</f>
        <v>664246890</v>
      </c>
      <c r="O132" t="s">
        <v>586</v>
      </c>
      <c r="P132" t="s">
        <v>24</v>
      </c>
    </row>
    <row r="133" spans="1:16" hidden="1" x14ac:dyDescent="0.25">
      <c r="A133">
        <v>74056</v>
      </c>
      <c r="B133" t="str">
        <f>"221778731"</f>
        <v>221778731</v>
      </c>
      <c r="C133" t="s">
        <v>16</v>
      </c>
      <c r="D133" t="s">
        <v>587</v>
      </c>
      <c r="E133" t="s">
        <v>80</v>
      </c>
      <c r="F133" t="s">
        <v>588</v>
      </c>
      <c r="G133" t="s">
        <v>589</v>
      </c>
      <c r="H133" t="s">
        <v>589</v>
      </c>
      <c r="I133" t="s">
        <v>30</v>
      </c>
      <c r="J133" t="s">
        <v>590</v>
      </c>
      <c r="K133" t="str">
        <f>"37"</f>
        <v>37</v>
      </c>
      <c r="L133" t="str">
        <f>""</f>
        <v/>
      </c>
      <c r="M133" t="str">
        <f>"83-400"</f>
        <v>83-400</v>
      </c>
      <c r="N133" t="str">
        <f>"600856941"</f>
        <v>600856941</v>
      </c>
      <c r="O133" t="s">
        <v>591</v>
      </c>
      <c r="P133" t="s">
        <v>24</v>
      </c>
    </row>
    <row r="134" spans="1:16" hidden="1" x14ac:dyDescent="0.25">
      <c r="A134">
        <v>123776</v>
      </c>
      <c r="B134" t="str">
        <f>"123176092"</f>
        <v>123176092</v>
      </c>
      <c r="C134" t="s">
        <v>16</v>
      </c>
      <c r="D134" t="s">
        <v>592</v>
      </c>
      <c r="E134" t="s">
        <v>27</v>
      </c>
      <c r="F134" t="s">
        <v>468</v>
      </c>
      <c r="G134" t="s">
        <v>593</v>
      </c>
      <c r="H134" t="s">
        <v>593</v>
      </c>
      <c r="I134" t="s">
        <v>68</v>
      </c>
      <c r="K134" t="str">
        <f>"495"</f>
        <v>495</v>
      </c>
      <c r="L134" t="str">
        <f>""</f>
        <v/>
      </c>
      <c r="M134" t="str">
        <f>"34-650"</f>
        <v>34-650</v>
      </c>
      <c r="N134" t="str">
        <f>"606508621"</f>
        <v>606508621</v>
      </c>
      <c r="O134" t="s">
        <v>594</v>
      </c>
      <c r="P134" t="s">
        <v>24</v>
      </c>
    </row>
    <row r="135" spans="1:16" hidden="1" x14ac:dyDescent="0.25">
      <c r="A135">
        <v>127231</v>
      </c>
      <c r="B135" t="str">
        <f>"361243007"</f>
        <v>361243007</v>
      </c>
      <c r="C135" t="s">
        <v>16</v>
      </c>
      <c r="D135" t="s">
        <v>595</v>
      </c>
      <c r="E135" t="s">
        <v>80</v>
      </c>
      <c r="F135" t="s">
        <v>534</v>
      </c>
      <c r="G135" t="s">
        <v>596</v>
      </c>
      <c r="H135" t="s">
        <v>596</v>
      </c>
      <c r="I135" t="s">
        <v>30</v>
      </c>
      <c r="J135" t="s">
        <v>243</v>
      </c>
      <c r="K135" t="str">
        <f>"31"</f>
        <v>31</v>
      </c>
      <c r="L135" t="str">
        <f>""</f>
        <v/>
      </c>
      <c r="M135" t="str">
        <f>"77-300"</f>
        <v>77-300</v>
      </c>
      <c r="N135" t="str">
        <f>"576034659"</f>
        <v>576034659</v>
      </c>
      <c r="O135" t="s">
        <v>597</v>
      </c>
      <c r="P135" t="s">
        <v>24</v>
      </c>
    </row>
    <row r="136" spans="1:16" hidden="1" x14ac:dyDescent="0.25">
      <c r="A136">
        <v>130367</v>
      </c>
      <c r="B136" t="str">
        <f>"363920908"</f>
        <v>363920908</v>
      </c>
      <c r="C136" t="s">
        <v>16</v>
      </c>
      <c r="D136" t="s">
        <v>598</v>
      </c>
      <c r="E136" t="s">
        <v>117</v>
      </c>
      <c r="F136" t="s">
        <v>177</v>
      </c>
      <c r="G136" t="s">
        <v>599</v>
      </c>
      <c r="H136" t="s">
        <v>599</v>
      </c>
      <c r="I136" t="s">
        <v>30</v>
      </c>
      <c r="J136" t="s">
        <v>600</v>
      </c>
      <c r="K136" t="str">
        <f>"1"</f>
        <v>1</v>
      </c>
      <c r="L136" t="str">
        <f>"211"</f>
        <v>211</v>
      </c>
      <c r="M136" t="str">
        <f>"43-400"</f>
        <v>43-400</v>
      </c>
      <c r="N136" t="str">
        <f>"500091227"</f>
        <v>500091227</v>
      </c>
      <c r="P136" t="s">
        <v>24</v>
      </c>
    </row>
    <row r="137" spans="1:16" hidden="1" x14ac:dyDescent="0.25">
      <c r="A137">
        <v>276739</v>
      </c>
      <c r="B137" t="str">
        <f>"387469731"</f>
        <v>387469731</v>
      </c>
      <c r="C137" t="s">
        <v>16</v>
      </c>
      <c r="D137" t="s">
        <v>601</v>
      </c>
      <c r="E137" t="s">
        <v>80</v>
      </c>
      <c r="F137" t="s">
        <v>588</v>
      </c>
      <c r="G137" t="s">
        <v>589</v>
      </c>
      <c r="H137" t="s">
        <v>589</v>
      </c>
      <c r="I137" t="s">
        <v>30</v>
      </c>
      <c r="J137" t="s">
        <v>402</v>
      </c>
      <c r="K137" t="str">
        <f>"6"</f>
        <v>6</v>
      </c>
      <c r="L137" t="str">
        <f>""</f>
        <v/>
      </c>
      <c r="M137" t="str">
        <f>"83-400"</f>
        <v>83-400</v>
      </c>
      <c r="N137" t="str">
        <f>"586867988"</f>
        <v>586867988</v>
      </c>
      <c r="O137" t="s">
        <v>602</v>
      </c>
      <c r="P137" t="s">
        <v>24</v>
      </c>
    </row>
    <row r="138" spans="1:16" hidden="1" x14ac:dyDescent="0.25">
      <c r="A138">
        <v>273634</v>
      </c>
      <c r="B138" t="str">
        <f>"384530140"</f>
        <v>384530140</v>
      </c>
      <c r="C138" t="s">
        <v>16</v>
      </c>
      <c r="D138" t="s">
        <v>603</v>
      </c>
      <c r="E138" t="s">
        <v>18</v>
      </c>
      <c r="F138" t="s">
        <v>604</v>
      </c>
      <c r="G138" t="s">
        <v>605</v>
      </c>
      <c r="H138" t="s">
        <v>605</v>
      </c>
      <c r="I138" t="s">
        <v>30</v>
      </c>
      <c r="J138" t="s">
        <v>606</v>
      </c>
      <c r="K138" t="str">
        <f>"9"</f>
        <v>9</v>
      </c>
      <c r="L138" t="str">
        <f>"13"</f>
        <v>13</v>
      </c>
      <c r="M138" t="str">
        <f>"96-500"</f>
        <v>96-500</v>
      </c>
      <c r="N138" t="str">
        <f>"516092887"</f>
        <v>516092887</v>
      </c>
      <c r="O138" t="s">
        <v>607</v>
      </c>
      <c r="P138" t="s">
        <v>24</v>
      </c>
    </row>
    <row r="139" spans="1:16" hidden="1" x14ac:dyDescent="0.25">
      <c r="A139">
        <v>121627</v>
      </c>
      <c r="B139" t="str">
        <f>"147068277"</f>
        <v>147068277</v>
      </c>
      <c r="C139" t="s">
        <v>16</v>
      </c>
      <c r="D139" t="s">
        <v>608</v>
      </c>
      <c r="E139" t="s">
        <v>18</v>
      </c>
      <c r="F139" t="s">
        <v>486</v>
      </c>
      <c r="G139" t="s">
        <v>487</v>
      </c>
      <c r="H139" t="s">
        <v>487</v>
      </c>
      <c r="I139" t="s">
        <v>30</v>
      </c>
      <c r="J139" t="s">
        <v>609</v>
      </c>
      <c r="K139" t="str">
        <f>"59"</f>
        <v>59</v>
      </c>
      <c r="L139" t="str">
        <f>""</f>
        <v/>
      </c>
      <c r="M139" t="str">
        <f>"05-070"</f>
        <v>05-070</v>
      </c>
      <c r="N139" t="str">
        <f>"0503892171"</f>
        <v>0503892171</v>
      </c>
      <c r="O139" t="s">
        <v>610</v>
      </c>
      <c r="P139" t="s">
        <v>24</v>
      </c>
    </row>
    <row r="140" spans="1:16" hidden="1" x14ac:dyDescent="0.25">
      <c r="A140">
        <v>274857</v>
      </c>
      <c r="B140" t="str">
        <f>"386342626"</f>
        <v>386342626</v>
      </c>
      <c r="C140" t="s">
        <v>16</v>
      </c>
      <c r="D140" t="s">
        <v>611</v>
      </c>
      <c r="E140" t="s">
        <v>18</v>
      </c>
      <c r="F140" t="s">
        <v>486</v>
      </c>
      <c r="G140" t="s">
        <v>612</v>
      </c>
      <c r="H140" t="s">
        <v>612</v>
      </c>
      <c r="I140" t="s">
        <v>30</v>
      </c>
      <c r="J140" t="s">
        <v>360</v>
      </c>
      <c r="K140" t="str">
        <f>"10"</f>
        <v>10</v>
      </c>
      <c r="L140" t="str">
        <f>""</f>
        <v/>
      </c>
      <c r="M140" t="str">
        <f>"05-300"</f>
        <v>05-300</v>
      </c>
      <c r="N140" t="str">
        <f>"515522451"</f>
        <v>515522451</v>
      </c>
      <c r="O140" t="s">
        <v>613</v>
      </c>
      <c r="P140" t="s">
        <v>24</v>
      </c>
    </row>
    <row r="141" spans="1:16" hidden="1" x14ac:dyDescent="0.25">
      <c r="A141">
        <v>269302</v>
      </c>
      <c r="B141" t="str">
        <f>"381429890"</f>
        <v>381429890</v>
      </c>
      <c r="C141" t="s">
        <v>16</v>
      </c>
      <c r="D141" t="s">
        <v>614</v>
      </c>
      <c r="E141" t="s">
        <v>117</v>
      </c>
      <c r="F141" t="s">
        <v>615</v>
      </c>
      <c r="G141" t="s">
        <v>615</v>
      </c>
      <c r="H141" t="s">
        <v>615</v>
      </c>
      <c r="I141" t="s">
        <v>30</v>
      </c>
      <c r="J141" t="s">
        <v>616</v>
      </c>
      <c r="K141" t="str">
        <f>"86"</f>
        <v>86</v>
      </c>
      <c r="L141" t="str">
        <f>""</f>
        <v/>
      </c>
      <c r="M141" t="str">
        <f>"43-600"</f>
        <v>43-600</v>
      </c>
      <c r="N141" t="str">
        <f>"609773484"</f>
        <v>609773484</v>
      </c>
      <c r="O141" t="s">
        <v>175</v>
      </c>
      <c r="P141" t="s">
        <v>24</v>
      </c>
    </row>
    <row r="142" spans="1:16" hidden="1" x14ac:dyDescent="0.25">
      <c r="A142">
        <v>43408</v>
      </c>
      <c r="B142" t="str">
        <f>"221764500"</f>
        <v>221764500</v>
      </c>
      <c r="C142" t="s">
        <v>16</v>
      </c>
      <c r="D142" t="s">
        <v>617</v>
      </c>
      <c r="E142" t="s">
        <v>80</v>
      </c>
      <c r="F142" t="s">
        <v>339</v>
      </c>
      <c r="G142" t="s">
        <v>339</v>
      </c>
      <c r="H142" t="s">
        <v>339</v>
      </c>
      <c r="I142" t="s">
        <v>30</v>
      </c>
      <c r="J142" t="s">
        <v>618</v>
      </c>
      <c r="K142" t="str">
        <f>"9"</f>
        <v>9</v>
      </c>
      <c r="L142" t="str">
        <f>""</f>
        <v/>
      </c>
      <c r="M142" t="str">
        <f>"80-335"</f>
        <v>80-335</v>
      </c>
      <c r="N142" t="str">
        <f>"602450727"</f>
        <v>602450727</v>
      </c>
      <c r="O142" t="s">
        <v>619</v>
      </c>
      <c r="P142" t="s">
        <v>24</v>
      </c>
    </row>
    <row r="143" spans="1:16" hidden="1" x14ac:dyDescent="0.25">
      <c r="A143">
        <v>118456</v>
      </c>
      <c r="B143" t="str">
        <f>"122913252"</f>
        <v>122913252</v>
      </c>
      <c r="C143" t="s">
        <v>16</v>
      </c>
      <c r="D143" t="s">
        <v>620</v>
      </c>
      <c r="E143" t="s">
        <v>27</v>
      </c>
      <c r="F143" t="s">
        <v>468</v>
      </c>
      <c r="G143" t="s">
        <v>593</v>
      </c>
      <c r="H143" t="s">
        <v>593</v>
      </c>
      <c r="I143" t="s">
        <v>68</v>
      </c>
      <c r="K143" t="str">
        <f>"315"</f>
        <v>315</v>
      </c>
      <c r="L143" t="str">
        <f>""</f>
        <v/>
      </c>
      <c r="M143" t="str">
        <f>"34-650"</f>
        <v>34-650</v>
      </c>
      <c r="N143" t="str">
        <f>"183325220"</f>
        <v>183325220</v>
      </c>
      <c r="O143" t="s">
        <v>621</v>
      </c>
      <c r="P143" t="s">
        <v>24</v>
      </c>
    </row>
    <row r="144" spans="1:16" hidden="1" x14ac:dyDescent="0.25">
      <c r="A144">
        <v>130168</v>
      </c>
      <c r="B144" t="str">
        <f>"363576888"</f>
        <v>363576888</v>
      </c>
      <c r="C144" t="s">
        <v>16</v>
      </c>
      <c r="D144" t="s">
        <v>624</v>
      </c>
      <c r="E144" t="s">
        <v>416</v>
      </c>
      <c r="F144" t="s">
        <v>417</v>
      </c>
      <c r="G144" t="s">
        <v>417</v>
      </c>
      <c r="H144" t="s">
        <v>417</v>
      </c>
      <c r="I144" t="s">
        <v>30</v>
      </c>
      <c r="J144" t="s">
        <v>625</v>
      </c>
      <c r="K144" t="str">
        <f>"19"</f>
        <v>19</v>
      </c>
      <c r="L144" t="str">
        <f>""</f>
        <v/>
      </c>
      <c r="M144" t="str">
        <f>"45-316"</f>
        <v>45-316</v>
      </c>
      <c r="N144" t="str">
        <f>"506176691"</f>
        <v>506176691</v>
      </c>
      <c r="O144" t="s">
        <v>626</v>
      </c>
      <c r="P144" t="s">
        <v>24</v>
      </c>
    </row>
    <row r="145" spans="1:16" hidden="1" x14ac:dyDescent="0.25">
      <c r="A145">
        <v>125693</v>
      </c>
      <c r="B145" t="str">
        <f>"147466470"</f>
        <v>147466470</v>
      </c>
      <c r="C145" t="s">
        <v>16</v>
      </c>
      <c r="D145" t="s">
        <v>627</v>
      </c>
      <c r="E145" t="s">
        <v>18</v>
      </c>
      <c r="F145" t="s">
        <v>363</v>
      </c>
      <c r="G145" t="s">
        <v>363</v>
      </c>
      <c r="H145" t="s">
        <v>363</v>
      </c>
      <c r="I145" t="s">
        <v>30</v>
      </c>
      <c r="J145" t="s">
        <v>628</v>
      </c>
      <c r="K145" t="str">
        <f>"58"</f>
        <v>58</v>
      </c>
      <c r="L145" t="str">
        <f>""</f>
        <v/>
      </c>
      <c r="M145" t="str">
        <f>"08-110"</f>
        <v>08-110</v>
      </c>
      <c r="N145" t="str">
        <f>"570133333"</f>
        <v>570133333</v>
      </c>
      <c r="O145" t="s">
        <v>629</v>
      </c>
      <c r="P145" t="s">
        <v>24</v>
      </c>
    </row>
    <row r="146" spans="1:16" hidden="1" x14ac:dyDescent="0.25">
      <c r="A146">
        <v>130733</v>
      </c>
      <c r="B146" t="str">
        <f>"364444485"</f>
        <v>364444485</v>
      </c>
      <c r="C146" t="s">
        <v>16</v>
      </c>
      <c r="D146" t="s">
        <v>630</v>
      </c>
      <c r="E146" t="s">
        <v>97</v>
      </c>
      <c r="F146" t="s">
        <v>170</v>
      </c>
      <c r="G146" t="s">
        <v>170</v>
      </c>
      <c r="H146" t="s">
        <v>170</v>
      </c>
      <c r="I146" t="s">
        <v>30</v>
      </c>
      <c r="J146" t="s">
        <v>631</v>
      </c>
      <c r="K146" t="str">
        <f>"40"</f>
        <v>40</v>
      </c>
      <c r="L146" t="str">
        <f>"U5"</f>
        <v>U5</v>
      </c>
      <c r="M146" t="str">
        <f>"16-400"</f>
        <v>16-400</v>
      </c>
      <c r="N146" t="str">
        <f>"606788252"</f>
        <v>606788252</v>
      </c>
      <c r="O146" t="s">
        <v>632</v>
      </c>
      <c r="P146" t="s">
        <v>24</v>
      </c>
    </row>
    <row r="147" spans="1:16" hidden="1" x14ac:dyDescent="0.25">
      <c r="A147">
        <v>132357</v>
      </c>
      <c r="B147" t="str">
        <f>"365564062"</f>
        <v>365564062</v>
      </c>
      <c r="C147" t="s">
        <v>16</v>
      </c>
      <c r="D147" t="s">
        <v>633</v>
      </c>
      <c r="E147" t="s">
        <v>64</v>
      </c>
      <c r="F147" t="s">
        <v>255</v>
      </c>
      <c r="G147" t="s">
        <v>634</v>
      </c>
      <c r="H147" t="s">
        <v>634</v>
      </c>
      <c r="I147" t="s">
        <v>42</v>
      </c>
      <c r="J147" t="s">
        <v>635</v>
      </c>
      <c r="K147" t="str">
        <f>"3"</f>
        <v>3</v>
      </c>
      <c r="L147" t="str">
        <f>""</f>
        <v/>
      </c>
      <c r="M147" t="str">
        <f>"51-514"</f>
        <v>51-514</v>
      </c>
      <c r="N147" t="str">
        <f>"607811296"</f>
        <v>607811296</v>
      </c>
      <c r="O147" t="s">
        <v>636</v>
      </c>
      <c r="P147" t="s">
        <v>24</v>
      </c>
    </row>
    <row r="148" spans="1:16" hidden="1" x14ac:dyDescent="0.25">
      <c r="A148">
        <v>268836</v>
      </c>
      <c r="B148" t="str">
        <f>"381257420"</f>
        <v>381257420</v>
      </c>
      <c r="C148" t="s">
        <v>16</v>
      </c>
      <c r="D148" t="s">
        <v>637</v>
      </c>
      <c r="E148" t="s">
        <v>117</v>
      </c>
      <c r="F148" t="s">
        <v>260</v>
      </c>
      <c r="G148" t="s">
        <v>260</v>
      </c>
      <c r="H148" t="s">
        <v>260</v>
      </c>
      <c r="I148" t="s">
        <v>30</v>
      </c>
      <c r="J148" t="s">
        <v>638</v>
      </c>
      <c r="K148" t="str">
        <f>"41"</f>
        <v>41</v>
      </c>
      <c r="L148" t="str">
        <f>""</f>
        <v/>
      </c>
      <c r="M148" t="str">
        <f>"43-100"</f>
        <v>43-100</v>
      </c>
      <c r="N148" t="str">
        <f>"575900290"</f>
        <v>575900290</v>
      </c>
      <c r="O148" t="s">
        <v>639</v>
      </c>
      <c r="P148" t="s">
        <v>24</v>
      </c>
    </row>
    <row r="149" spans="1:16" hidden="1" x14ac:dyDescent="0.25">
      <c r="A149">
        <v>126758</v>
      </c>
      <c r="B149" t="str">
        <f>"360699350"</f>
        <v>360699350</v>
      </c>
      <c r="C149" t="s">
        <v>16</v>
      </c>
      <c r="D149" t="s">
        <v>640</v>
      </c>
      <c r="E149" t="s">
        <v>80</v>
      </c>
      <c r="F149" t="s">
        <v>641</v>
      </c>
      <c r="G149" t="s">
        <v>642</v>
      </c>
      <c r="H149" t="s">
        <v>643</v>
      </c>
      <c r="I149" t="s">
        <v>68</v>
      </c>
      <c r="J149" t="s">
        <v>540</v>
      </c>
      <c r="K149" t="str">
        <f>"49"</f>
        <v>49</v>
      </c>
      <c r="L149" t="str">
        <f>""</f>
        <v/>
      </c>
      <c r="M149" t="str">
        <f>"81-198"</f>
        <v>81-198</v>
      </c>
      <c r="N149" t="str">
        <f>"533256625"</f>
        <v>533256625</v>
      </c>
      <c r="O149" t="s">
        <v>644</v>
      </c>
      <c r="P149" t="s">
        <v>24</v>
      </c>
    </row>
    <row r="150" spans="1:16" hidden="1" x14ac:dyDescent="0.25">
      <c r="A150">
        <v>118770</v>
      </c>
      <c r="B150" t="str">
        <f>"061589459"</f>
        <v>061589459</v>
      </c>
      <c r="C150" t="s">
        <v>16</v>
      </c>
      <c r="D150" t="s">
        <v>645</v>
      </c>
      <c r="E150" t="s">
        <v>112</v>
      </c>
      <c r="F150" t="s">
        <v>646</v>
      </c>
      <c r="G150" t="s">
        <v>647</v>
      </c>
      <c r="H150" t="s">
        <v>647</v>
      </c>
      <c r="I150" t="s">
        <v>30</v>
      </c>
      <c r="J150" t="s">
        <v>500</v>
      </c>
      <c r="K150" t="str">
        <f>"79"</f>
        <v>79</v>
      </c>
      <c r="L150" t="str">
        <f>""</f>
        <v/>
      </c>
      <c r="M150" t="str">
        <f>"21-100"</f>
        <v>21-100</v>
      </c>
      <c r="N150" t="str">
        <f>"731877888"</f>
        <v>731877888</v>
      </c>
      <c r="O150" t="s">
        <v>648</v>
      </c>
      <c r="P150" t="s">
        <v>24</v>
      </c>
    </row>
    <row r="151" spans="1:16" hidden="1" x14ac:dyDescent="0.25">
      <c r="A151">
        <v>130677</v>
      </c>
      <c r="B151" t="str">
        <f>"364323238"</f>
        <v>364323238</v>
      </c>
      <c r="C151" t="s">
        <v>16</v>
      </c>
      <c r="D151" t="s">
        <v>649</v>
      </c>
      <c r="E151" t="s">
        <v>18</v>
      </c>
      <c r="F151" t="s">
        <v>650</v>
      </c>
      <c r="G151" t="s">
        <v>651</v>
      </c>
      <c r="H151" t="s">
        <v>651</v>
      </c>
      <c r="I151" t="s">
        <v>30</v>
      </c>
      <c r="J151" t="s">
        <v>652</v>
      </c>
      <c r="K151" t="str">
        <f>"2 B"</f>
        <v>2 B</v>
      </c>
      <c r="L151" t="str">
        <f>""</f>
        <v/>
      </c>
      <c r="M151" t="str">
        <f>"05-400"</f>
        <v>05-400</v>
      </c>
      <c r="N151" t="str">
        <f>"570122006"</f>
        <v>570122006</v>
      </c>
      <c r="O151" t="s">
        <v>653</v>
      </c>
      <c r="P151" t="s">
        <v>24</v>
      </c>
    </row>
    <row r="152" spans="1:16" hidden="1" x14ac:dyDescent="0.25">
      <c r="A152">
        <v>274359</v>
      </c>
      <c r="B152" t="str">
        <f>"385620514"</f>
        <v>385620514</v>
      </c>
      <c r="C152" t="s">
        <v>16</v>
      </c>
      <c r="D152" t="s">
        <v>654</v>
      </c>
      <c r="E152" t="s">
        <v>18</v>
      </c>
      <c r="F152" t="s">
        <v>486</v>
      </c>
      <c r="G152" t="s">
        <v>487</v>
      </c>
      <c r="H152" t="s">
        <v>487</v>
      </c>
      <c r="I152" t="s">
        <v>30</v>
      </c>
      <c r="J152" t="s">
        <v>655</v>
      </c>
      <c r="K152" t="str">
        <f>"7"</f>
        <v>7</v>
      </c>
      <c r="L152" t="str">
        <f>""</f>
        <v/>
      </c>
      <c r="M152" t="str">
        <f>"05-070"</f>
        <v>05-070</v>
      </c>
      <c r="N152" t="str">
        <f>"697997277"</f>
        <v>697997277</v>
      </c>
      <c r="O152" t="s">
        <v>656</v>
      </c>
      <c r="P152" t="s">
        <v>24</v>
      </c>
    </row>
    <row r="153" spans="1:16" hidden="1" x14ac:dyDescent="0.25">
      <c r="A153">
        <v>129754</v>
      </c>
      <c r="B153" t="str">
        <f>"362884820"</f>
        <v>362884820</v>
      </c>
      <c r="C153" t="s">
        <v>16</v>
      </c>
      <c r="D153" t="s">
        <v>657</v>
      </c>
      <c r="E153" t="s">
        <v>18</v>
      </c>
      <c r="F153" t="s">
        <v>512</v>
      </c>
      <c r="G153" t="s">
        <v>513</v>
      </c>
      <c r="H153" t="s">
        <v>513</v>
      </c>
      <c r="I153" t="s">
        <v>30</v>
      </c>
      <c r="J153" t="s">
        <v>453</v>
      </c>
      <c r="K153" t="str">
        <f>"1"</f>
        <v>1</v>
      </c>
      <c r="L153" t="str">
        <f>""</f>
        <v/>
      </c>
      <c r="M153" t="str">
        <f>"08-300"</f>
        <v>08-300</v>
      </c>
      <c r="N153" t="str">
        <f>"508788088"</f>
        <v>508788088</v>
      </c>
      <c r="O153" t="s">
        <v>658</v>
      </c>
      <c r="P153" t="s">
        <v>24</v>
      </c>
    </row>
    <row r="154" spans="1:16" hidden="1" x14ac:dyDescent="0.25">
      <c r="A154">
        <v>128368</v>
      </c>
      <c r="B154" t="str">
        <f>"362258732"</f>
        <v>362258732</v>
      </c>
      <c r="C154" t="s">
        <v>16</v>
      </c>
      <c r="D154" t="s">
        <v>659</v>
      </c>
      <c r="E154" t="s">
        <v>18</v>
      </c>
      <c r="F154" t="s">
        <v>507</v>
      </c>
      <c r="G154" t="s">
        <v>584</v>
      </c>
      <c r="H154" t="s">
        <v>584</v>
      </c>
      <c r="I154" t="s">
        <v>30</v>
      </c>
      <c r="J154" t="s">
        <v>660</v>
      </c>
      <c r="K154" t="str">
        <f>"5"</f>
        <v>5</v>
      </c>
      <c r="L154" t="str">
        <f>""</f>
        <v/>
      </c>
      <c r="M154" t="str">
        <f>"05-800"</f>
        <v>05-800</v>
      </c>
      <c r="N154" t="str">
        <f>"503810023"</f>
        <v>503810023</v>
      </c>
      <c r="O154" t="s">
        <v>661</v>
      </c>
      <c r="P154" t="s">
        <v>24</v>
      </c>
    </row>
    <row r="155" spans="1:16" hidden="1" x14ac:dyDescent="0.25">
      <c r="A155">
        <v>278971</v>
      </c>
      <c r="B155" t="str">
        <f>"520321010"</f>
        <v>520321010</v>
      </c>
      <c r="C155" t="s">
        <v>16</v>
      </c>
      <c r="D155" t="s">
        <v>663</v>
      </c>
      <c r="E155" t="s">
        <v>18</v>
      </c>
      <c r="F155" t="s">
        <v>451</v>
      </c>
      <c r="G155" t="s">
        <v>664</v>
      </c>
      <c r="H155" t="s">
        <v>664</v>
      </c>
      <c r="I155" t="s">
        <v>30</v>
      </c>
      <c r="J155" t="s">
        <v>560</v>
      </c>
      <c r="K155" t="str">
        <f>"21"</f>
        <v>21</v>
      </c>
      <c r="L155" t="str">
        <f>""</f>
        <v/>
      </c>
      <c r="M155" t="str">
        <f>"05-240"</f>
        <v>05-240</v>
      </c>
      <c r="N155" t="str">
        <f>"602397036"</f>
        <v>602397036</v>
      </c>
      <c r="O155" t="s">
        <v>665</v>
      </c>
      <c r="P155" t="s">
        <v>24</v>
      </c>
    </row>
    <row r="156" spans="1:16" hidden="1" x14ac:dyDescent="0.25">
      <c r="A156">
        <v>130545</v>
      </c>
      <c r="B156" t="str">
        <f>"364163540"</f>
        <v>364163540</v>
      </c>
      <c r="C156" t="s">
        <v>16</v>
      </c>
      <c r="D156" t="s">
        <v>666</v>
      </c>
      <c r="E156" t="s">
        <v>240</v>
      </c>
      <c r="F156" t="s">
        <v>473</v>
      </c>
      <c r="G156" t="s">
        <v>473</v>
      </c>
      <c r="H156" t="s">
        <v>473</v>
      </c>
      <c r="I156" t="s">
        <v>30</v>
      </c>
      <c r="J156" t="s">
        <v>667</v>
      </c>
      <c r="K156" t="str">
        <f>"8"</f>
        <v>8</v>
      </c>
      <c r="L156" t="str">
        <f>""</f>
        <v/>
      </c>
      <c r="M156" t="str">
        <f>"66-400"</f>
        <v>66-400</v>
      </c>
      <c r="N156" t="str">
        <f>"600422299"</f>
        <v>600422299</v>
      </c>
      <c r="O156" t="s">
        <v>668</v>
      </c>
      <c r="P156" t="s">
        <v>24</v>
      </c>
    </row>
    <row r="157" spans="1:16" hidden="1" x14ac:dyDescent="0.25">
      <c r="A157">
        <v>268167</v>
      </c>
      <c r="B157" t="str">
        <f>"381001790"</f>
        <v>381001790</v>
      </c>
      <c r="C157" t="s">
        <v>16</v>
      </c>
      <c r="D157" t="s">
        <v>669</v>
      </c>
      <c r="E157" t="s">
        <v>18</v>
      </c>
      <c r="F157" t="s">
        <v>373</v>
      </c>
      <c r="G157" t="s">
        <v>374</v>
      </c>
      <c r="H157" t="s">
        <v>670</v>
      </c>
      <c r="I157" t="s">
        <v>68</v>
      </c>
      <c r="J157" t="s">
        <v>671</v>
      </c>
      <c r="K157" t="str">
        <f>"1"</f>
        <v>1</v>
      </c>
      <c r="L157" t="str">
        <f>""</f>
        <v/>
      </c>
      <c r="M157" t="str">
        <f>"05-126"</f>
        <v>05-126</v>
      </c>
      <c r="N157" t="str">
        <f>"724556667"</f>
        <v>724556667</v>
      </c>
      <c r="O157" t="s">
        <v>672</v>
      </c>
      <c r="P157" t="s">
        <v>24</v>
      </c>
    </row>
    <row r="158" spans="1:16" hidden="1" x14ac:dyDescent="0.25">
      <c r="A158">
        <v>278553</v>
      </c>
      <c r="B158" t="str">
        <f>"389966037"</f>
        <v>389966037</v>
      </c>
      <c r="C158" t="s">
        <v>16</v>
      </c>
      <c r="D158" t="s">
        <v>673</v>
      </c>
      <c r="E158" t="s">
        <v>39</v>
      </c>
      <c r="F158" t="s">
        <v>462</v>
      </c>
      <c r="G158" t="s">
        <v>463</v>
      </c>
      <c r="H158" t="s">
        <v>463</v>
      </c>
      <c r="I158" t="s">
        <v>30</v>
      </c>
      <c r="J158" t="s">
        <v>674</v>
      </c>
      <c r="K158" t="str">
        <f>"11"</f>
        <v>11</v>
      </c>
      <c r="L158" t="str">
        <f>""</f>
        <v/>
      </c>
      <c r="M158" t="str">
        <f>"95-200"</f>
        <v>95-200</v>
      </c>
      <c r="N158" t="str">
        <f>"667610238"</f>
        <v>667610238</v>
      </c>
      <c r="O158" t="s">
        <v>675</v>
      </c>
      <c r="P158" t="s">
        <v>24</v>
      </c>
    </row>
    <row r="159" spans="1:16" hidden="1" x14ac:dyDescent="0.25">
      <c r="A159">
        <v>480024</v>
      </c>
      <c r="B159" t="str">
        <f>"525038200"</f>
        <v>525038200</v>
      </c>
      <c r="C159" t="s">
        <v>16</v>
      </c>
      <c r="D159" t="s">
        <v>676</v>
      </c>
      <c r="E159" t="s">
        <v>18</v>
      </c>
      <c r="F159" t="s">
        <v>507</v>
      </c>
      <c r="G159" t="s">
        <v>584</v>
      </c>
      <c r="H159" t="s">
        <v>584</v>
      </c>
      <c r="I159" t="s">
        <v>30</v>
      </c>
      <c r="J159" t="s">
        <v>677</v>
      </c>
      <c r="K159" t="str">
        <f>"7"</f>
        <v>7</v>
      </c>
      <c r="L159" t="str">
        <f>"U2B"</f>
        <v>U2B</v>
      </c>
      <c r="M159" t="str">
        <f>"05-800"</f>
        <v>05-800</v>
      </c>
      <c r="N159" t="str">
        <f>"660670306"</f>
        <v>660670306</v>
      </c>
      <c r="O159" t="s">
        <v>678</v>
      </c>
      <c r="P159" t="s">
        <v>24</v>
      </c>
    </row>
    <row r="160" spans="1:16" hidden="1" x14ac:dyDescent="0.25">
      <c r="A160">
        <v>132207</v>
      </c>
      <c r="B160" t="str">
        <f>"365504166"</f>
        <v>365504166</v>
      </c>
      <c r="C160" t="s">
        <v>16</v>
      </c>
      <c r="D160" t="s">
        <v>679</v>
      </c>
      <c r="E160" t="s">
        <v>27</v>
      </c>
      <c r="F160" t="s">
        <v>622</v>
      </c>
      <c r="G160" t="s">
        <v>680</v>
      </c>
      <c r="H160" t="s">
        <v>680</v>
      </c>
      <c r="I160" t="s">
        <v>30</v>
      </c>
      <c r="J160" t="s">
        <v>681</v>
      </c>
      <c r="K160" t="str">
        <f>"28"</f>
        <v>28</v>
      </c>
      <c r="L160" t="str">
        <f>""</f>
        <v/>
      </c>
      <c r="M160" t="str">
        <f>"34-400"</f>
        <v>34-400</v>
      </c>
      <c r="N160" t="str">
        <f>"123994359"</f>
        <v>123994359</v>
      </c>
      <c r="O160" t="s">
        <v>682</v>
      </c>
      <c r="P160" t="s">
        <v>24</v>
      </c>
    </row>
    <row r="161" spans="1:16" hidden="1" x14ac:dyDescent="0.25">
      <c r="A161">
        <v>478397</v>
      </c>
      <c r="B161" t="str">
        <f>"522738210"</f>
        <v>522738210</v>
      </c>
      <c r="C161" t="s">
        <v>16</v>
      </c>
      <c r="D161" t="s">
        <v>683</v>
      </c>
      <c r="E161" t="s">
        <v>64</v>
      </c>
      <c r="F161" t="s">
        <v>684</v>
      </c>
      <c r="G161" t="s">
        <v>685</v>
      </c>
      <c r="H161" t="s">
        <v>686</v>
      </c>
      <c r="I161" t="s">
        <v>68</v>
      </c>
      <c r="K161" t="str">
        <f>"41"</f>
        <v>41</v>
      </c>
      <c r="L161" t="str">
        <f>""</f>
        <v/>
      </c>
      <c r="M161" t="str">
        <f>"59-516"</f>
        <v>59-516</v>
      </c>
      <c r="N161" t="str">
        <f>"724145235"</f>
        <v>724145235</v>
      </c>
      <c r="O161" t="s">
        <v>687</v>
      </c>
      <c r="P161" t="s">
        <v>24</v>
      </c>
    </row>
    <row r="162" spans="1:16" hidden="1" x14ac:dyDescent="0.25">
      <c r="A162">
        <v>128088</v>
      </c>
      <c r="B162" t="str">
        <f>"362082434"</f>
        <v>362082434</v>
      </c>
      <c r="C162" t="s">
        <v>16</v>
      </c>
      <c r="D162" t="s">
        <v>690</v>
      </c>
      <c r="E162" t="s">
        <v>34</v>
      </c>
      <c r="F162" t="s">
        <v>531</v>
      </c>
      <c r="G162" t="s">
        <v>532</v>
      </c>
      <c r="H162" t="s">
        <v>532</v>
      </c>
      <c r="I162" t="s">
        <v>30</v>
      </c>
      <c r="J162" t="s">
        <v>691</v>
      </c>
      <c r="K162" t="str">
        <f>"9"</f>
        <v>9</v>
      </c>
      <c r="L162" t="str">
        <f>""</f>
        <v/>
      </c>
      <c r="M162" t="str">
        <f>"78-100"</f>
        <v>78-100</v>
      </c>
      <c r="N162" t="str">
        <f>"663993384"</f>
        <v>663993384</v>
      </c>
      <c r="O162" t="s">
        <v>692</v>
      </c>
      <c r="P162" t="s">
        <v>24</v>
      </c>
    </row>
    <row r="163" spans="1:16" hidden="1" x14ac:dyDescent="0.25">
      <c r="A163">
        <v>131064</v>
      </c>
      <c r="B163" t="str">
        <f>"364915298"</f>
        <v>364915298</v>
      </c>
      <c r="C163" t="s">
        <v>16</v>
      </c>
      <c r="D163" t="s">
        <v>693</v>
      </c>
      <c r="E163" t="s">
        <v>18</v>
      </c>
      <c r="F163" t="s">
        <v>507</v>
      </c>
      <c r="G163" t="s">
        <v>584</v>
      </c>
      <c r="H163" t="s">
        <v>584</v>
      </c>
      <c r="I163" t="s">
        <v>30</v>
      </c>
      <c r="J163" t="s">
        <v>694</v>
      </c>
      <c r="K163" t="str">
        <f>"26"</f>
        <v>26</v>
      </c>
      <c r="L163" t="str">
        <f>"40"</f>
        <v>40</v>
      </c>
      <c r="M163" t="str">
        <f>"05-800"</f>
        <v>05-800</v>
      </c>
      <c r="N163" t="str">
        <f>"500466250"</f>
        <v>500466250</v>
      </c>
      <c r="O163" t="s">
        <v>695</v>
      </c>
      <c r="P163" t="s">
        <v>24</v>
      </c>
    </row>
    <row r="164" spans="1:16" hidden="1" x14ac:dyDescent="0.25">
      <c r="A164">
        <v>274512</v>
      </c>
      <c r="B164" t="str">
        <f>"385882131"</f>
        <v>385882131</v>
      </c>
      <c r="C164" t="s">
        <v>16</v>
      </c>
      <c r="D164" t="s">
        <v>696</v>
      </c>
      <c r="E164" t="s">
        <v>101</v>
      </c>
      <c r="F164" t="s">
        <v>697</v>
      </c>
      <c r="G164" t="s">
        <v>698</v>
      </c>
      <c r="H164" t="s">
        <v>698</v>
      </c>
      <c r="I164" t="s">
        <v>30</v>
      </c>
      <c r="J164" t="s">
        <v>453</v>
      </c>
      <c r="K164" t="str">
        <f>"10"</f>
        <v>10</v>
      </c>
      <c r="L164" t="str">
        <f>""</f>
        <v/>
      </c>
      <c r="M164" t="str">
        <f>"39-120"</f>
        <v>39-120</v>
      </c>
      <c r="N164" t="str">
        <f>"600925261"</f>
        <v>600925261</v>
      </c>
      <c r="O164" t="s">
        <v>699</v>
      </c>
      <c r="P164" t="s">
        <v>24</v>
      </c>
    </row>
    <row r="165" spans="1:16" hidden="1" x14ac:dyDescent="0.25">
      <c r="A165">
        <v>128621</v>
      </c>
      <c r="B165" t="str">
        <f>"362335214"</f>
        <v>362335214</v>
      </c>
      <c r="C165" t="s">
        <v>16</v>
      </c>
      <c r="D165" t="s">
        <v>700</v>
      </c>
      <c r="E165" t="s">
        <v>18</v>
      </c>
      <c r="F165" t="s">
        <v>507</v>
      </c>
      <c r="G165" t="s">
        <v>662</v>
      </c>
      <c r="H165" t="s">
        <v>662</v>
      </c>
      <c r="I165" t="s">
        <v>68</v>
      </c>
      <c r="J165" t="s">
        <v>701</v>
      </c>
      <c r="K165" t="str">
        <f>"26"</f>
        <v>26</v>
      </c>
      <c r="L165" t="str">
        <f>""</f>
        <v/>
      </c>
      <c r="M165" t="str">
        <f>"05-830"</f>
        <v>05-830</v>
      </c>
      <c r="N165" t="str">
        <f>"728662112"</f>
        <v>728662112</v>
      </c>
      <c r="O165" t="s">
        <v>702</v>
      </c>
      <c r="P165" t="s">
        <v>24</v>
      </c>
    </row>
    <row r="166" spans="1:16" hidden="1" x14ac:dyDescent="0.25">
      <c r="A166">
        <v>125341</v>
      </c>
      <c r="B166" t="str">
        <f>"147438596"</f>
        <v>147438596</v>
      </c>
      <c r="C166" t="s">
        <v>16</v>
      </c>
      <c r="D166" t="s">
        <v>703</v>
      </c>
      <c r="E166" t="s">
        <v>18</v>
      </c>
      <c r="F166" t="s">
        <v>451</v>
      </c>
      <c r="G166" t="s">
        <v>704</v>
      </c>
      <c r="H166" t="s">
        <v>704</v>
      </c>
      <c r="I166" t="s">
        <v>30</v>
      </c>
      <c r="J166" t="s">
        <v>705</v>
      </c>
      <c r="K166" t="str">
        <f>"29 C"</f>
        <v>29 C</v>
      </c>
      <c r="L166" t="str">
        <f>""</f>
        <v/>
      </c>
      <c r="M166" t="str">
        <f>"05-200"</f>
        <v>05-200</v>
      </c>
      <c r="N166" t="str">
        <f>"538178195"</f>
        <v>538178195</v>
      </c>
      <c r="O166" t="s">
        <v>706</v>
      </c>
      <c r="P166" t="s">
        <v>24</v>
      </c>
    </row>
    <row r="167" spans="1:16" hidden="1" x14ac:dyDescent="0.25">
      <c r="A167">
        <v>272387</v>
      </c>
      <c r="B167" t="str">
        <f>"384163144"</f>
        <v>384163144</v>
      </c>
      <c r="C167" t="s">
        <v>16</v>
      </c>
      <c r="D167" t="s">
        <v>707</v>
      </c>
      <c r="E167" t="s">
        <v>18</v>
      </c>
      <c r="F167" t="s">
        <v>451</v>
      </c>
      <c r="G167" t="s">
        <v>708</v>
      </c>
      <c r="H167" t="s">
        <v>708</v>
      </c>
      <c r="I167" t="s">
        <v>30</v>
      </c>
      <c r="J167" t="s">
        <v>709</v>
      </c>
      <c r="K167" t="str">
        <f>"5"</f>
        <v>5</v>
      </c>
      <c r="L167" t="str">
        <f>""</f>
        <v/>
      </c>
      <c r="M167" t="str">
        <f>"05-230"</f>
        <v>05-230</v>
      </c>
      <c r="N167" t="str">
        <f>"608757200"</f>
        <v>608757200</v>
      </c>
      <c r="P167" t="s">
        <v>24</v>
      </c>
    </row>
    <row r="168" spans="1:16" hidden="1" x14ac:dyDescent="0.25">
      <c r="A168">
        <v>27354</v>
      </c>
      <c r="B168" t="str">
        <f>"101485232"</f>
        <v>101485232</v>
      </c>
      <c r="C168" t="s">
        <v>16</v>
      </c>
      <c r="D168" t="s">
        <v>710</v>
      </c>
      <c r="E168" t="s">
        <v>39</v>
      </c>
      <c r="F168" t="s">
        <v>711</v>
      </c>
      <c r="G168" t="s">
        <v>712</v>
      </c>
      <c r="H168" t="s">
        <v>712</v>
      </c>
      <c r="I168" t="s">
        <v>30</v>
      </c>
      <c r="J168" t="s">
        <v>713</v>
      </c>
      <c r="K168" t="str">
        <f>"1"</f>
        <v>1</v>
      </c>
      <c r="L168" t="str">
        <f>""</f>
        <v/>
      </c>
      <c r="M168" t="str">
        <f>"95-070"</f>
        <v>95-070</v>
      </c>
      <c r="N168" t="str">
        <f>"422807700"</f>
        <v>422807700</v>
      </c>
      <c r="O168" t="s">
        <v>714</v>
      </c>
      <c r="P168" t="s">
        <v>24</v>
      </c>
    </row>
    <row r="169" spans="1:16" hidden="1" x14ac:dyDescent="0.25">
      <c r="A169">
        <v>127259</v>
      </c>
      <c r="B169" t="str">
        <f>"361276432"</f>
        <v>361276432</v>
      </c>
      <c r="C169" t="s">
        <v>16</v>
      </c>
      <c r="D169" t="s">
        <v>715</v>
      </c>
      <c r="E169" t="s">
        <v>157</v>
      </c>
      <c r="F169" t="s">
        <v>716</v>
      </c>
      <c r="G169" t="s">
        <v>716</v>
      </c>
      <c r="H169" t="s">
        <v>716</v>
      </c>
      <c r="I169" t="s">
        <v>30</v>
      </c>
      <c r="J169" t="s">
        <v>717</v>
      </c>
      <c r="K169" t="str">
        <f>"25"</f>
        <v>25</v>
      </c>
      <c r="L169" t="str">
        <f>""</f>
        <v/>
      </c>
      <c r="M169" t="str">
        <f>"62-831"</f>
        <v>62-831</v>
      </c>
      <c r="N169" t="str">
        <f>"627575075"</f>
        <v>627575075</v>
      </c>
      <c r="O169" t="s">
        <v>718</v>
      </c>
      <c r="P169" t="s">
        <v>24</v>
      </c>
    </row>
    <row r="170" spans="1:16" hidden="1" x14ac:dyDescent="0.25">
      <c r="A170">
        <v>47233</v>
      </c>
      <c r="B170" t="str">
        <f>"221769838"</f>
        <v>221769838</v>
      </c>
      <c r="C170" t="s">
        <v>16</v>
      </c>
      <c r="D170" t="s">
        <v>720</v>
      </c>
      <c r="E170" t="s">
        <v>80</v>
      </c>
      <c r="F170" t="s">
        <v>721</v>
      </c>
      <c r="G170" t="s">
        <v>722</v>
      </c>
      <c r="H170" t="s">
        <v>722</v>
      </c>
      <c r="I170" t="s">
        <v>30</v>
      </c>
      <c r="J170" t="s">
        <v>723</v>
      </c>
      <c r="K170" t="str">
        <f>"4"</f>
        <v>4</v>
      </c>
      <c r="L170" t="str">
        <f>""</f>
        <v/>
      </c>
      <c r="M170" t="str">
        <f>"82-500"</f>
        <v>82-500</v>
      </c>
      <c r="N170" t="str">
        <f>"797298588"</f>
        <v>797298588</v>
      </c>
      <c r="O170" t="s">
        <v>724</v>
      </c>
      <c r="P170" t="s">
        <v>24</v>
      </c>
    </row>
    <row r="171" spans="1:16" hidden="1" x14ac:dyDescent="0.25">
      <c r="A171">
        <v>123956</v>
      </c>
      <c r="B171" t="str">
        <f>"302794466"</f>
        <v>302794466</v>
      </c>
      <c r="C171" t="s">
        <v>16</v>
      </c>
      <c r="D171" t="s">
        <v>725</v>
      </c>
      <c r="E171" t="s">
        <v>157</v>
      </c>
      <c r="F171" t="s">
        <v>482</v>
      </c>
      <c r="G171" t="s">
        <v>726</v>
      </c>
      <c r="H171" t="s">
        <v>726</v>
      </c>
      <c r="I171" t="s">
        <v>30</v>
      </c>
      <c r="J171" t="s">
        <v>727</v>
      </c>
      <c r="K171" t="str">
        <f>"11a"</f>
        <v>11a</v>
      </c>
      <c r="L171" t="str">
        <f>""</f>
        <v/>
      </c>
      <c r="M171" t="str">
        <f>"89-310"</f>
        <v>89-310</v>
      </c>
      <c r="N171" t="str">
        <f>"0943070124"</f>
        <v>0943070124</v>
      </c>
      <c r="P171" t="s">
        <v>24</v>
      </c>
    </row>
    <row r="172" spans="1:16" hidden="1" x14ac:dyDescent="0.25">
      <c r="A172">
        <v>48363</v>
      </c>
      <c r="B172" t="str">
        <f>"122689665"</f>
        <v>122689665</v>
      </c>
      <c r="C172" t="s">
        <v>16</v>
      </c>
      <c r="D172" t="s">
        <v>728</v>
      </c>
      <c r="E172" t="s">
        <v>27</v>
      </c>
      <c r="F172" t="s">
        <v>729</v>
      </c>
      <c r="G172" t="s">
        <v>730</v>
      </c>
      <c r="H172" t="s">
        <v>730</v>
      </c>
      <c r="I172" t="s">
        <v>30</v>
      </c>
      <c r="J172" t="s">
        <v>731</v>
      </c>
      <c r="K172" t="str">
        <f>"3"</f>
        <v>3</v>
      </c>
      <c r="L172" t="str">
        <f>""</f>
        <v/>
      </c>
      <c r="M172" t="str">
        <f>"32-400"</f>
        <v>32-400</v>
      </c>
      <c r="N172" t="str">
        <f>"503029093"</f>
        <v>503029093</v>
      </c>
      <c r="O172" t="s">
        <v>732</v>
      </c>
      <c r="P172" t="s">
        <v>24</v>
      </c>
    </row>
    <row r="173" spans="1:16" hidden="1" x14ac:dyDescent="0.25">
      <c r="A173">
        <v>274510</v>
      </c>
      <c r="B173" t="str">
        <f>"385876863"</f>
        <v>385876863</v>
      </c>
      <c r="C173" t="s">
        <v>16</v>
      </c>
      <c r="D173" t="s">
        <v>733</v>
      </c>
      <c r="E173" t="s">
        <v>101</v>
      </c>
      <c r="F173" t="s">
        <v>734</v>
      </c>
      <c r="G173" t="s">
        <v>735</v>
      </c>
      <c r="H173" t="s">
        <v>736</v>
      </c>
      <c r="I173" t="s">
        <v>68</v>
      </c>
      <c r="K173" t="str">
        <f>"60"</f>
        <v>60</v>
      </c>
      <c r="L173" t="str">
        <f>""</f>
        <v/>
      </c>
      <c r="M173" t="str">
        <f>"39-220"</f>
        <v>39-220</v>
      </c>
      <c r="N173" t="str">
        <f>"600599909"</f>
        <v>600599909</v>
      </c>
      <c r="O173" t="s">
        <v>737</v>
      </c>
      <c r="P173" t="s">
        <v>24</v>
      </c>
    </row>
    <row r="174" spans="1:16" hidden="1" x14ac:dyDescent="0.25">
      <c r="A174">
        <v>105538</v>
      </c>
      <c r="B174" t="str">
        <f>"302309057"</f>
        <v>302309057</v>
      </c>
      <c r="C174" t="s">
        <v>16</v>
      </c>
      <c r="D174" t="s">
        <v>738</v>
      </c>
      <c r="E174" t="s">
        <v>157</v>
      </c>
      <c r="F174" t="s">
        <v>482</v>
      </c>
      <c r="G174" t="s">
        <v>483</v>
      </c>
      <c r="H174" t="s">
        <v>483</v>
      </c>
      <c r="I174" t="s">
        <v>30</v>
      </c>
      <c r="J174" t="s">
        <v>739</v>
      </c>
      <c r="K174" t="str">
        <f>"1"</f>
        <v>1</v>
      </c>
      <c r="L174" t="str">
        <f>""</f>
        <v/>
      </c>
      <c r="M174" t="str">
        <f>"64-920"</f>
        <v>64-920</v>
      </c>
      <c r="N174" t="str">
        <f>"600887372"</f>
        <v>600887372</v>
      </c>
      <c r="P174" t="s">
        <v>24</v>
      </c>
    </row>
    <row r="175" spans="1:16" hidden="1" x14ac:dyDescent="0.25">
      <c r="A175">
        <v>127414</v>
      </c>
      <c r="B175" t="str">
        <f>"361562712"</f>
        <v>361562712</v>
      </c>
      <c r="C175" t="s">
        <v>16</v>
      </c>
      <c r="D175" t="s">
        <v>740</v>
      </c>
      <c r="E175" t="s">
        <v>27</v>
      </c>
      <c r="F175" t="s">
        <v>187</v>
      </c>
      <c r="G175" t="s">
        <v>187</v>
      </c>
      <c r="H175" t="s">
        <v>187</v>
      </c>
      <c r="I175" t="s">
        <v>30</v>
      </c>
      <c r="J175" t="s">
        <v>741</v>
      </c>
      <c r="K175" t="str">
        <f>"30"</f>
        <v>30</v>
      </c>
      <c r="L175" t="str">
        <f>""</f>
        <v/>
      </c>
      <c r="M175" t="str">
        <f>"33-100"</f>
        <v>33-100</v>
      </c>
      <c r="N175" t="str">
        <f>"662273530"</f>
        <v>662273530</v>
      </c>
      <c r="O175" t="s">
        <v>742</v>
      </c>
      <c r="P175" t="s">
        <v>24</v>
      </c>
    </row>
    <row r="176" spans="1:16" hidden="1" x14ac:dyDescent="0.25">
      <c r="A176">
        <v>115370</v>
      </c>
      <c r="B176" t="str">
        <f>"146756058"</f>
        <v>146756058</v>
      </c>
      <c r="C176" t="s">
        <v>16</v>
      </c>
      <c r="D176" t="s">
        <v>743</v>
      </c>
      <c r="E176" t="s">
        <v>18</v>
      </c>
      <c r="F176" t="s">
        <v>744</v>
      </c>
      <c r="G176" t="s">
        <v>745</v>
      </c>
      <c r="H176" t="s">
        <v>746</v>
      </c>
      <c r="I176" t="s">
        <v>68</v>
      </c>
      <c r="K176" t="str">
        <f>"45"</f>
        <v>45</v>
      </c>
      <c r="L176" t="str">
        <f>""</f>
        <v/>
      </c>
      <c r="M176" t="str">
        <f>"07-415"</f>
        <v>07-415</v>
      </c>
      <c r="N176" t="str">
        <f>"668607058"</f>
        <v>668607058</v>
      </c>
      <c r="O176" t="s">
        <v>747</v>
      </c>
      <c r="P176" t="s">
        <v>24</v>
      </c>
    </row>
    <row r="177" spans="1:16" hidden="1" x14ac:dyDescent="0.25">
      <c r="A177">
        <v>481652</v>
      </c>
      <c r="B177" t="str">
        <f>"527817090"</f>
        <v>527817090</v>
      </c>
      <c r="C177" t="s">
        <v>16</v>
      </c>
      <c r="D177" t="s">
        <v>748</v>
      </c>
      <c r="E177" t="s">
        <v>389</v>
      </c>
      <c r="F177" t="s">
        <v>749</v>
      </c>
      <c r="G177" t="s">
        <v>750</v>
      </c>
      <c r="H177" t="s">
        <v>750</v>
      </c>
      <c r="I177" t="s">
        <v>30</v>
      </c>
      <c r="J177" t="s">
        <v>751</v>
      </c>
      <c r="K177" t="str">
        <f>"5"</f>
        <v>5</v>
      </c>
      <c r="L177" t="str">
        <f>""</f>
        <v/>
      </c>
      <c r="M177" t="str">
        <f>"11-130"</f>
        <v>11-130</v>
      </c>
      <c r="N177" t="str">
        <f>"503488553"</f>
        <v>503488553</v>
      </c>
      <c r="O177" t="s">
        <v>752</v>
      </c>
      <c r="P177" t="s">
        <v>24</v>
      </c>
    </row>
    <row r="178" spans="1:16" hidden="1" x14ac:dyDescent="0.25">
      <c r="A178">
        <v>268165</v>
      </c>
      <c r="B178" t="str">
        <f>"380989396"</f>
        <v>380989396</v>
      </c>
      <c r="C178" t="s">
        <v>16</v>
      </c>
      <c r="D178" t="s">
        <v>753</v>
      </c>
      <c r="E178" t="s">
        <v>39</v>
      </c>
      <c r="F178" t="s">
        <v>462</v>
      </c>
      <c r="G178" t="s">
        <v>463</v>
      </c>
      <c r="H178" t="s">
        <v>463</v>
      </c>
      <c r="I178" t="s">
        <v>30</v>
      </c>
      <c r="J178" t="s">
        <v>754</v>
      </c>
      <c r="K178" t="str">
        <f>"59"</f>
        <v>59</v>
      </c>
      <c r="L178" t="str">
        <f>"3"</f>
        <v>3</v>
      </c>
      <c r="M178" t="str">
        <f>"95-200"</f>
        <v>95-200</v>
      </c>
      <c r="N178" t="str">
        <f>"692157042"</f>
        <v>692157042</v>
      </c>
      <c r="O178" t="s">
        <v>755</v>
      </c>
      <c r="P178" t="s">
        <v>24</v>
      </c>
    </row>
    <row r="179" spans="1:16" hidden="1" x14ac:dyDescent="0.25">
      <c r="A179">
        <v>131864</v>
      </c>
      <c r="B179" t="str">
        <f>"365365799"</f>
        <v>365365799</v>
      </c>
      <c r="C179" t="s">
        <v>16</v>
      </c>
      <c r="D179" t="s">
        <v>756</v>
      </c>
      <c r="E179" t="s">
        <v>101</v>
      </c>
      <c r="F179" t="s">
        <v>757</v>
      </c>
      <c r="G179" t="s">
        <v>758</v>
      </c>
      <c r="H179" t="s">
        <v>758</v>
      </c>
      <c r="I179" t="s">
        <v>30</v>
      </c>
      <c r="J179" t="s">
        <v>759</v>
      </c>
      <c r="K179" t="str">
        <f>"6"</f>
        <v>6</v>
      </c>
      <c r="L179" t="str">
        <f>""</f>
        <v/>
      </c>
      <c r="M179" t="str">
        <f>"38-100"</f>
        <v>38-100</v>
      </c>
      <c r="N179" t="str">
        <f>"533264706"</f>
        <v>533264706</v>
      </c>
      <c r="O179" t="s">
        <v>760</v>
      </c>
      <c r="P179" t="s">
        <v>24</v>
      </c>
    </row>
    <row r="180" spans="1:16" hidden="1" x14ac:dyDescent="0.25">
      <c r="A180">
        <v>49004</v>
      </c>
      <c r="B180" t="str">
        <f>"122696429"</f>
        <v>122696429</v>
      </c>
      <c r="C180" t="s">
        <v>16</v>
      </c>
      <c r="D180" t="s">
        <v>761</v>
      </c>
      <c r="E180" t="s">
        <v>27</v>
      </c>
      <c r="F180" t="s">
        <v>762</v>
      </c>
      <c r="G180" t="s">
        <v>763</v>
      </c>
      <c r="H180" t="s">
        <v>763</v>
      </c>
      <c r="I180" t="s">
        <v>30</v>
      </c>
      <c r="J180" t="s">
        <v>764</v>
      </c>
      <c r="K180" t="str">
        <f>"7"</f>
        <v>7</v>
      </c>
      <c r="L180" t="str">
        <f>""</f>
        <v/>
      </c>
      <c r="M180" t="str">
        <f>"32-700"</f>
        <v>32-700</v>
      </c>
      <c r="N180" t="str">
        <f>"607336558"</f>
        <v>607336558</v>
      </c>
      <c r="O180" t="s">
        <v>765</v>
      </c>
      <c r="P180" t="s">
        <v>24</v>
      </c>
    </row>
    <row r="181" spans="1:16" hidden="1" x14ac:dyDescent="0.25">
      <c r="A181">
        <v>129548</v>
      </c>
      <c r="B181" t="str">
        <f>"362660931"</f>
        <v>362660931</v>
      </c>
      <c r="C181" t="s">
        <v>16</v>
      </c>
      <c r="D181" t="s">
        <v>766</v>
      </c>
      <c r="E181" t="s">
        <v>80</v>
      </c>
      <c r="F181" t="s">
        <v>339</v>
      </c>
      <c r="G181" t="s">
        <v>339</v>
      </c>
      <c r="H181" t="s">
        <v>339</v>
      </c>
      <c r="I181" t="s">
        <v>30</v>
      </c>
      <c r="J181" t="s">
        <v>767</v>
      </c>
      <c r="K181" t="str">
        <f>"18c"</f>
        <v>18c</v>
      </c>
      <c r="L181" t="str">
        <f>""</f>
        <v/>
      </c>
      <c r="M181" t="str">
        <f>"80-299"</f>
        <v>80-299</v>
      </c>
      <c r="N181" t="str">
        <f>"501718450"</f>
        <v>501718450</v>
      </c>
      <c r="O181" t="s">
        <v>768</v>
      </c>
      <c r="P181" t="s">
        <v>24</v>
      </c>
    </row>
    <row r="182" spans="1:16" hidden="1" x14ac:dyDescent="0.25">
      <c r="A182">
        <v>126983</v>
      </c>
      <c r="B182" t="str">
        <f>"361002396"</f>
        <v>361002396</v>
      </c>
      <c r="C182" t="s">
        <v>16</v>
      </c>
      <c r="D182" t="s">
        <v>770</v>
      </c>
      <c r="E182" t="s">
        <v>18</v>
      </c>
      <c r="F182" t="s">
        <v>106</v>
      </c>
      <c r="G182" t="s">
        <v>771</v>
      </c>
      <c r="H182" t="s">
        <v>771</v>
      </c>
      <c r="I182" t="s">
        <v>30</v>
      </c>
      <c r="J182" t="s">
        <v>772</v>
      </c>
      <c r="K182" t="str">
        <f>"39"</f>
        <v>39</v>
      </c>
      <c r="L182" t="str">
        <f>""</f>
        <v/>
      </c>
      <c r="M182" t="str">
        <f>"05-520"</f>
        <v>05-520</v>
      </c>
      <c r="N182" t="str">
        <f>"888393393"</f>
        <v>888393393</v>
      </c>
      <c r="O182" t="s">
        <v>773</v>
      </c>
      <c r="P182" t="s">
        <v>24</v>
      </c>
    </row>
    <row r="183" spans="1:16" hidden="1" x14ac:dyDescent="0.25">
      <c r="A183">
        <v>279111</v>
      </c>
      <c r="B183" t="str">
        <f>"520677020"</f>
        <v>520677020</v>
      </c>
      <c r="C183" t="s">
        <v>16</v>
      </c>
      <c r="D183" t="s">
        <v>774</v>
      </c>
      <c r="E183" t="s">
        <v>74</v>
      </c>
      <c r="F183" t="s">
        <v>775</v>
      </c>
      <c r="G183" t="s">
        <v>776</v>
      </c>
      <c r="H183" t="s">
        <v>776</v>
      </c>
      <c r="I183" t="s">
        <v>30</v>
      </c>
      <c r="J183" t="s">
        <v>777</v>
      </c>
      <c r="K183" t="str">
        <f>"10"</f>
        <v>10</v>
      </c>
      <c r="L183" t="str">
        <f>""</f>
        <v/>
      </c>
      <c r="M183" t="str">
        <f>"26-070"</f>
        <v>26-070</v>
      </c>
      <c r="N183" t="str">
        <f>"790230790"</f>
        <v>790230790</v>
      </c>
      <c r="O183" t="s">
        <v>778</v>
      </c>
      <c r="P183" t="s">
        <v>24</v>
      </c>
    </row>
    <row r="184" spans="1:16" hidden="1" x14ac:dyDescent="0.25">
      <c r="A184">
        <v>269253</v>
      </c>
      <c r="B184" t="str">
        <f>"381415266"</f>
        <v>381415266</v>
      </c>
      <c r="C184" t="s">
        <v>16</v>
      </c>
      <c r="D184" t="s">
        <v>779</v>
      </c>
      <c r="E184" t="s">
        <v>117</v>
      </c>
      <c r="F184" t="s">
        <v>350</v>
      </c>
      <c r="G184" t="s">
        <v>350</v>
      </c>
      <c r="H184" t="s">
        <v>350</v>
      </c>
      <c r="I184" t="s">
        <v>30</v>
      </c>
      <c r="J184" t="s">
        <v>780</v>
      </c>
      <c r="K184" t="str">
        <f>"22a"</f>
        <v>22a</v>
      </c>
      <c r="L184" t="str">
        <f>""</f>
        <v/>
      </c>
      <c r="M184" t="str">
        <f>"44-203"</f>
        <v>44-203</v>
      </c>
      <c r="N184" t="str">
        <f>"509311531"</f>
        <v>509311531</v>
      </c>
      <c r="O184" t="s">
        <v>781</v>
      </c>
      <c r="P184" t="s">
        <v>24</v>
      </c>
    </row>
    <row r="185" spans="1:16" hidden="1" x14ac:dyDescent="0.25">
      <c r="A185">
        <v>131645</v>
      </c>
      <c r="B185" t="str">
        <f>"365319902"</f>
        <v>365319902</v>
      </c>
      <c r="C185" t="s">
        <v>16</v>
      </c>
      <c r="D185" t="s">
        <v>782</v>
      </c>
      <c r="E185" t="s">
        <v>240</v>
      </c>
      <c r="F185" t="s">
        <v>783</v>
      </c>
      <c r="G185" t="s">
        <v>784</v>
      </c>
      <c r="H185" t="s">
        <v>784</v>
      </c>
      <c r="I185" t="s">
        <v>30</v>
      </c>
      <c r="J185" t="s">
        <v>785</v>
      </c>
      <c r="K185" t="str">
        <f>"3"</f>
        <v>3</v>
      </c>
      <c r="L185" t="str">
        <f>""</f>
        <v/>
      </c>
      <c r="M185" t="str">
        <f>"68-200"</f>
        <v>68-200</v>
      </c>
      <c r="N185" t="str">
        <f>"668986211"</f>
        <v>668986211</v>
      </c>
      <c r="P185" t="s">
        <v>24</v>
      </c>
    </row>
    <row r="186" spans="1:16" hidden="1" x14ac:dyDescent="0.25">
      <c r="A186">
        <v>129365</v>
      </c>
      <c r="B186" t="str">
        <f>"362569640"</f>
        <v>362569640</v>
      </c>
      <c r="C186" t="s">
        <v>16</v>
      </c>
      <c r="D186" t="s">
        <v>786</v>
      </c>
      <c r="E186" t="s">
        <v>157</v>
      </c>
      <c r="F186" t="s">
        <v>158</v>
      </c>
      <c r="G186" t="s">
        <v>787</v>
      </c>
      <c r="H186" t="s">
        <v>787</v>
      </c>
      <c r="I186" t="s">
        <v>42</v>
      </c>
      <c r="J186" t="s">
        <v>788</v>
      </c>
      <c r="K186" t="str">
        <f>"6"</f>
        <v>6</v>
      </c>
      <c r="L186" t="str">
        <f>"2"</f>
        <v>2</v>
      </c>
      <c r="M186" t="str">
        <f>"60-288"</f>
        <v>60-288</v>
      </c>
      <c r="N186" t="str">
        <f>"533677877"</f>
        <v>533677877</v>
      </c>
      <c r="O186" t="s">
        <v>789</v>
      </c>
      <c r="P186" t="s">
        <v>24</v>
      </c>
    </row>
    <row r="187" spans="1:16" hidden="1" x14ac:dyDescent="0.25">
      <c r="A187">
        <v>122445</v>
      </c>
      <c r="B187" t="str">
        <f>"101745325"</f>
        <v>101745325</v>
      </c>
      <c r="C187" t="s">
        <v>16</v>
      </c>
      <c r="D187" t="s">
        <v>791</v>
      </c>
      <c r="E187" t="s">
        <v>39</v>
      </c>
      <c r="F187" t="s">
        <v>40</v>
      </c>
      <c r="G187" t="s">
        <v>41</v>
      </c>
      <c r="H187" t="s">
        <v>41</v>
      </c>
      <c r="I187" t="s">
        <v>42</v>
      </c>
      <c r="J187" t="s">
        <v>792</v>
      </c>
      <c r="K187" t="str">
        <f>"3"</f>
        <v>3</v>
      </c>
      <c r="L187" t="str">
        <f>""</f>
        <v/>
      </c>
      <c r="M187" t="str">
        <f>"91-744"</f>
        <v>91-744</v>
      </c>
      <c r="N187" t="str">
        <f>"426561906"</f>
        <v>426561906</v>
      </c>
      <c r="O187" t="s">
        <v>793</v>
      </c>
      <c r="P187" t="s">
        <v>24</v>
      </c>
    </row>
    <row r="188" spans="1:16" hidden="1" x14ac:dyDescent="0.25">
      <c r="A188">
        <v>126434</v>
      </c>
      <c r="B188" t="str">
        <f>"360322012"</f>
        <v>360322012</v>
      </c>
      <c r="C188" t="s">
        <v>16</v>
      </c>
      <c r="D188" t="s">
        <v>794</v>
      </c>
      <c r="E188" t="s">
        <v>18</v>
      </c>
      <c r="F188" t="s">
        <v>19</v>
      </c>
      <c r="G188" t="s">
        <v>20</v>
      </c>
      <c r="H188" t="s">
        <v>20</v>
      </c>
      <c r="I188" t="s">
        <v>21</v>
      </c>
      <c r="J188" t="s">
        <v>795</v>
      </c>
      <c r="K188" t="str">
        <f>"4"</f>
        <v>4</v>
      </c>
      <c r="L188" t="str">
        <f>"U2"</f>
        <v>U2</v>
      </c>
      <c r="M188" t="str">
        <f>"02-793"</f>
        <v>02-793</v>
      </c>
      <c r="N188" t="str">
        <f>"609270601"</f>
        <v>609270601</v>
      </c>
      <c r="O188" t="s">
        <v>796</v>
      </c>
      <c r="P188" t="s">
        <v>24</v>
      </c>
    </row>
    <row r="189" spans="1:16" hidden="1" x14ac:dyDescent="0.25">
      <c r="A189">
        <v>130226</v>
      </c>
      <c r="B189" t="str">
        <f>"363673568"</f>
        <v>363673568</v>
      </c>
      <c r="C189" t="s">
        <v>16</v>
      </c>
      <c r="D189" t="s">
        <v>797</v>
      </c>
      <c r="E189" t="s">
        <v>97</v>
      </c>
      <c r="F189" t="s">
        <v>578</v>
      </c>
      <c r="G189" t="s">
        <v>578</v>
      </c>
      <c r="H189" t="s">
        <v>578</v>
      </c>
      <c r="I189" t="s">
        <v>30</v>
      </c>
      <c r="J189" t="s">
        <v>628</v>
      </c>
      <c r="K189" t="str">
        <f>"113"</f>
        <v>113</v>
      </c>
      <c r="L189" t="str">
        <f>""</f>
        <v/>
      </c>
      <c r="M189" t="str">
        <f>"18-400"</f>
        <v>18-400</v>
      </c>
      <c r="N189" t="str">
        <f>"660446877"</f>
        <v>660446877</v>
      </c>
      <c r="O189" t="s">
        <v>798</v>
      </c>
      <c r="P189" t="s">
        <v>24</v>
      </c>
    </row>
    <row r="190" spans="1:16" hidden="1" x14ac:dyDescent="0.25">
      <c r="A190">
        <v>264459</v>
      </c>
      <c r="B190" t="str">
        <f>"368352449"</f>
        <v>368352449</v>
      </c>
      <c r="C190" t="s">
        <v>16</v>
      </c>
      <c r="D190" t="s">
        <v>799</v>
      </c>
      <c r="E190" t="s">
        <v>117</v>
      </c>
      <c r="F190" t="s">
        <v>213</v>
      </c>
      <c r="G190" t="s">
        <v>213</v>
      </c>
      <c r="H190" t="s">
        <v>213</v>
      </c>
      <c r="I190" t="s">
        <v>30</v>
      </c>
      <c r="J190" t="s">
        <v>800</v>
      </c>
      <c r="K190" t="str">
        <f>"6"</f>
        <v>6</v>
      </c>
      <c r="L190" t="str">
        <f>""</f>
        <v/>
      </c>
      <c r="M190" t="str">
        <f>"44-122"</f>
        <v>44-122</v>
      </c>
      <c r="N190" t="str">
        <f>"605317888"</f>
        <v>605317888</v>
      </c>
      <c r="O190" t="s">
        <v>801</v>
      </c>
      <c r="P190" t="s">
        <v>24</v>
      </c>
    </row>
    <row r="191" spans="1:16" hidden="1" x14ac:dyDescent="0.25">
      <c r="A191">
        <v>129513</v>
      </c>
      <c r="B191" t="str">
        <f>"362649190"</f>
        <v>362649190</v>
      </c>
      <c r="C191" t="s">
        <v>16</v>
      </c>
      <c r="D191" t="s">
        <v>802</v>
      </c>
      <c r="E191" t="s">
        <v>80</v>
      </c>
      <c r="F191" t="s">
        <v>571</v>
      </c>
      <c r="G191" t="s">
        <v>571</v>
      </c>
      <c r="H191" t="s">
        <v>571</v>
      </c>
      <c r="I191" t="s">
        <v>30</v>
      </c>
      <c r="J191" t="s">
        <v>803</v>
      </c>
      <c r="K191" t="str">
        <f>"100"</f>
        <v>100</v>
      </c>
      <c r="L191" t="str">
        <f>"1"</f>
        <v>1</v>
      </c>
      <c r="M191" t="str">
        <f>"81-388"</f>
        <v>81-388</v>
      </c>
      <c r="N191" t="str">
        <f>"0943070124"</f>
        <v>0943070124</v>
      </c>
      <c r="O191" t="s">
        <v>528</v>
      </c>
      <c r="P191" t="s">
        <v>24</v>
      </c>
    </row>
    <row r="192" spans="1:16" hidden="1" x14ac:dyDescent="0.25">
      <c r="A192">
        <v>129637</v>
      </c>
      <c r="B192" t="str">
        <f>"362702569"</f>
        <v>362702569</v>
      </c>
      <c r="C192" t="s">
        <v>16</v>
      </c>
      <c r="D192" t="s">
        <v>804</v>
      </c>
      <c r="E192" t="s">
        <v>80</v>
      </c>
      <c r="F192" t="s">
        <v>571</v>
      </c>
      <c r="G192" t="s">
        <v>571</v>
      </c>
      <c r="H192" t="s">
        <v>571</v>
      </c>
      <c r="I192" t="s">
        <v>30</v>
      </c>
      <c r="J192" t="s">
        <v>805</v>
      </c>
      <c r="K192" t="str">
        <f>"2a"</f>
        <v>2a</v>
      </c>
      <c r="L192" t="str">
        <f>""</f>
        <v/>
      </c>
      <c r="M192" t="str">
        <f>"81-175"</f>
        <v>81-175</v>
      </c>
      <c r="N192" t="str">
        <f>"516153301"</f>
        <v>516153301</v>
      </c>
      <c r="O192" t="s">
        <v>806</v>
      </c>
      <c r="P192" t="s">
        <v>24</v>
      </c>
    </row>
    <row r="193" spans="1:16" hidden="1" x14ac:dyDescent="0.25">
      <c r="A193">
        <v>130215</v>
      </c>
      <c r="B193" t="str">
        <f>"363658913"</f>
        <v>363658913</v>
      </c>
      <c r="C193" t="s">
        <v>16</v>
      </c>
      <c r="D193" t="s">
        <v>807</v>
      </c>
      <c r="E193" t="s">
        <v>97</v>
      </c>
      <c r="F193" t="s">
        <v>808</v>
      </c>
      <c r="G193" t="s">
        <v>809</v>
      </c>
      <c r="H193" t="s">
        <v>809</v>
      </c>
      <c r="I193" t="s">
        <v>30</v>
      </c>
      <c r="J193" t="s">
        <v>810</v>
      </c>
      <c r="K193" t="str">
        <f>"19"</f>
        <v>19</v>
      </c>
      <c r="L193" t="str">
        <f>""</f>
        <v/>
      </c>
      <c r="M193" t="str">
        <f>"17-300"</f>
        <v>17-300</v>
      </c>
      <c r="N193" t="str">
        <f>"509766501"</f>
        <v>509766501</v>
      </c>
      <c r="O193" t="s">
        <v>811</v>
      </c>
      <c r="P193" t="s">
        <v>24</v>
      </c>
    </row>
    <row r="194" spans="1:16" hidden="1" x14ac:dyDescent="0.25">
      <c r="A194">
        <v>121656</v>
      </c>
      <c r="B194" t="str">
        <f>"101724122"</f>
        <v>101724122</v>
      </c>
      <c r="C194" t="s">
        <v>16</v>
      </c>
      <c r="D194" t="s">
        <v>812</v>
      </c>
      <c r="E194" t="s">
        <v>39</v>
      </c>
      <c r="F194" t="s">
        <v>40</v>
      </c>
      <c r="G194" t="s">
        <v>41</v>
      </c>
      <c r="H194" t="s">
        <v>41</v>
      </c>
      <c r="I194" t="s">
        <v>42</v>
      </c>
      <c r="J194" t="s">
        <v>813</v>
      </c>
      <c r="K194" t="str">
        <f>"4"</f>
        <v>4</v>
      </c>
      <c r="L194" t="str">
        <f>"45"</f>
        <v>45</v>
      </c>
      <c r="M194" t="str">
        <f>"91-032"</f>
        <v>91-032</v>
      </c>
      <c r="N194" t="str">
        <f>"510771120"</f>
        <v>510771120</v>
      </c>
      <c r="O194" t="s">
        <v>814</v>
      </c>
      <c r="P194" t="s">
        <v>24</v>
      </c>
    </row>
    <row r="195" spans="1:16" hidden="1" x14ac:dyDescent="0.25">
      <c r="A195">
        <v>5256</v>
      </c>
      <c r="B195" t="str">
        <f>"146264119"</f>
        <v>146264119</v>
      </c>
      <c r="C195" t="s">
        <v>16</v>
      </c>
      <c r="D195" t="s">
        <v>816</v>
      </c>
      <c r="E195" t="s">
        <v>18</v>
      </c>
      <c r="F195" t="s">
        <v>451</v>
      </c>
      <c r="G195" t="s">
        <v>704</v>
      </c>
      <c r="H195" t="s">
        <v>704</v>
      </c>
      <c r="I195" t="s">
        <v>30</v>
      </c>
      <c r="J195" t="s">
        <v>817</v>
      </c>
      <c r="K195" t="str">
        <f>"38"</f>
        <v>38</v>
      </c>
      <c r="L195" t="str">
        <f>""</f>
        <v/>
      </c>
      <c r="M195" t="str">
        <f>"05-200"</f>
        <v>05-200</v>
      </c>
      <c r="N195" t="str">
        <f>"790029028"</f>
        <v>790029028</v>
      </c>
      <c r="O195" t="s">
        <v>818</v>
      </c>
      <c r="P195" t="s">
        <v>24</v>
      </c>
    </row>
    <row r="196" spans="1:16" hidden="1" x14ac:dyDescent="0.25">
      <c r="A196">
        <v>120282</v>
      </c>
      <c r="B196" t="str">
        <f>"221961168"</f>
        <v>221961168</v>
      </c>
      <c r="C196" t="s">
        <v>16</v>
      </c>
      <c r="D196" t="s">
        <v>819</v>
      </c>
      <c r="E196" t="s">
        <v>80</v>
      </c>
      <c r="F196" t="s">
        <v>571</v>
      </c>
      <c r="G196" t="s">
        <v>571</v>
      </c>
      <c r="H196" t="s">
        <v>571</v>
      </c>
      <c r="I196" t="s">
        <v>30</v>
      </c>
      <c r="J196" t="s">
        <v>820</v>
      </c>
      <c r="K196" t="str">
        <f>"49"</f>
        <v>49</v>
      </c>
      <c r="L196" t="str">
        <f>""</f>
        <v/>
      </c>
      <c r="M196" t="str">
        <f>"81-589"</f>
        <v>81-589</v>
      </c>
      <c r="N196" t="str">
        <f>"509035272"</f>
        <v>509035272</v>
      </c>
      <c r="O196" t="s">
        <v>821</v>
      </c>
      <c r="P196" t="s">
        <v>24</v>
      </c>
    </row>
    <row r="197" spans="1:16" hidden="1" x14ac:dyDescent="0.25">
      <c r="A197">
        <v>130446</v>
      </c>
      <c r="B197" t="str">
        <f>"364033150"</f>
        <v>364033150</v>
      </c>
      <c r="C197" t="s">
        <v>16</v>
      </c>
      <c r="D197" t="s">
        <v>822</v>
      </c>
      <c r="E197" t="s">
        <v>80</v>
      </c>
      <c r="F197" t="s">
        <v>571</v>
      </c>
      <c r="G197" t="s">
        <v>571</v>
      </c>
      <c r="H197" t="s">
        <v>571</v>
      </c>
      <c r="I197" t="s">
        <v>30</v>
      </c>
      <c r="J197" t="s">
        <v>823</v>
      </c>
      <c r="K197" t="str">
        <f>"10E"</f>
        <v>10E</v>
      </c>
      <c r="L197" t="str">
        <f>"1"</f>
        <v>1</v>
      </c>
      <c r="M197" t="str">
        <f>"81-549"</f>
        <v>81-549</v>
      </c>
      <c r="N197" t="str">
        <f>"586244363"</f>
        <v>586244363</v>
      </c>
      <c r="O197" t="s">
        <v>824</v>
      </c>
      <c r="P197" t="s">
        <v>24</v>
      </c>
    </row>
    <row r="198" spans="1:16" hidden="1" x14ac:dyDescent="0.25">
      <c r="A198">
        <v>123730</v>
      </c>
      <c r="B198" t="str">
        <f>"222132706"</f>
        <v>222132706</v>
      </c>
      <c r="C198" t="s">
        <v>16</v>
      </c>
      <c r="D198" t="s">
        <v>825</v>
      </c>
      <c r="E198" t="s">
        <v>80</v>
      </c>
      <c r="F198" t="s">
        <v>81</v>
      </c>
      <c r="G198" t="s">
        <v>81</v>
      </c>
      <c r="H198" t="s">
        <v>81</v>
      </c>
      <c r="I198" t="s">
        <v>30</v>
      </c>
      <c r="J198" t="s">
        <v>826</v>
      </c>
      <c r="K198" t="str">
        <f>"3A"</f>
        <v>3A</v>
      </c>
      <c r="L198" t="str">
        <f>""</f>
        <v/>
      </c>
      <c r="M198" t="str">
        <f>"76-200"</f>
        <v>76-200</v>
      </c>
      <c r="N198" t="str">
        <f>"693469940"</f>
        <v>693469940</v>
      </c>
      <c r="O198" t="s">
        <v>827</v>
      </c>
      <c r="P198" t="s">
        <v>24</v>
      </c>
    </row>
    <row r="199" spans="1:16" hidden="1" x14ac:dyDescent="0.25">
      <c r="A199">
        <v>104189</v>
      </c>
      <c r="B199" t="str">
        <f>"321313845"</f>
        <v>321313845</v>
      </c>
      <c r="C199" t="s">
        <v>16</v>
      </c>
      <c r="D199" t="s">
        <v>828</v>
      </c>
      <c r="E199" t="s">
        <v>34</v>
      </c>
      <c r="F199" t="s">
        <v>829</v>
      </c>
      <c r="G199" t="s">
        <v>830</v>
      </c>
      <c r="H199" t="s">
        <v>830</v>
      </c>
      <c r="I199" t="s">
        <v>30</v>
      </c>
      <c r="J199" t="s">
        <v>392</v>
      </c>
      <c r="K199" t="str">
        <f>"45"</f>
        <v>45</v>
      </c>
      <c r="L199" t="str">
        <f>""</f>
        <v/>
      </c>
      <c r="M199" t="str">
        <f>"74-300"</f>
        <v>74-300</v>
      </c>
      <c r="N199" t="str">
        <f>"957473905"</f>
        <v>957473905</v>
      </c>
      <c r="O199" t="s">
        <v>831</v>
      </c>
      <c r="P199" t="s">
        <v>24</v>
      </c>
    </row>
    <row r="200" spans="1:16" hidden="1" x14ac:dyDescent="0.25">
      <c r="A200">
        <v>22063</v>
      </c>
      <c r="B200" t="str">
        <f>"243056297"</f>
        <v>243056297</v>
      </c>
      <c r="C200" t="s">
        <v>16</v>
      </c>
      <c r="D200" t="s">
        <v>828</v>
      </c>
      <c r="E200" t="s">
        <v>117</v>
      </c>
      <c r="F200" t="s">
        <v>177</v>
      </c>
      <c r="G200" t="s">
        <v>832</v>
      </c>
      <c r="H200" t="s">
        <v>832</v>
      </c>
      <c r="I200" t="s">
        <v>68</v>
      </c>
      <c r="J200" t="s">
        <v>202</v>
      </c>
      <c r="K200" t="str">
        <f>"31"</f>
        <v>31</v>
      </c>
      <c r="L200" t="str">
        <f>""</f>
        <v/>
      </c>
      <c r="M200" t="str">
        <f>"43-520"</f>
        <v>43-520</v>
      </c>
      <c r="N200" t="str">
        <f>"338560215"</f>
        <v>338560215</v>
      </c>
      <c r="P200" t="s">
        <v>24</v>
      </c>
    </row>
    <row r="201" spans="1:16" hidden="1" x14ac:dyDescent="0.25">
      <c r="A201">
        <v>31910</v>
      </c>
      <c r="B201" t="str">
        <f>"221759461"</f>
        <v>221759461</v>
      </c>
      <c r="C201" t="s">
        <v>16</v>
      </c>
      <c r="D201" t="s">
        <v>828</v>
      </c>
      <c r="E201" t="s">
        <v>80</v>
      </c>
      <c r="F201" t="s">
        <v>833</v>
      </c>
      <c r="G201" t="s">
        <v>834</v>
      </c>
      <c r="H201" t="s">
        <v>834</v>
      </c>
      <c r="I201" t="s">
        <v>30</v>
      </c>
      <c r="J201" t="s">
        <v>835</v>
      </c>
      <c r="K201" t="str">
        <f>"11a"</f>
        <v>11a</v>
      </c>
      <c r="L201" t="str">
        <f>""</f>
        <v/>
      </c>
      <c r="M201" t="str">
        <f>"83-250"</f>
        <v>83-250</v>
      </c>
      <c r="N201" t="str">
        <f>"585882463"</f>
        <v>585882463</v>
      </c>
      <c r="O201" t="s">
        <v>836</v>
      </c>
      <c r="P201" t="s">
        <v>24</v>
      </c>
    </row>
    <row r="202" spans="1:16" hidden="1" x14ac:dyDescent="0.25">
      <c r="A202">
        <v>126652</v>
      </c>
      <c r="B202" t="str">
        <f>"360600250"</f>
        <v>360600250</v>
      </c>
      <c r="C202" t="s">
        <v>16</v>
      </c>
      <c r="D202" t="s">
        <v>828</v>
      </c>
      <c r="E202" t="s">
        <v>117</v>
      </c>
      <c r="F202" t="s">
        <v>350</v>
      </c>
      <c r="G202" t="s">
        <v>350</v>
      </c>
      <c r="H202" t="s">
        <v>350</v>
      </c>
      <c r="I202" t="s">
        <v>30</v>
      </c>
      <c r="J202" t="s">
        <v>837</v>
      </c>
      <c r="K202" t="str">
        <f>"14"</f>
        <v>14</v>
      </c>
      <c r="L202" t="str">
        <f>""</f>
        <v/>
      </c>
      <c r="M202" t="str">
        <f>"44-200"</f>
        <v>44-200</v>
      </c>
      <c r="N202" t="str">
        <f>"324248571"</f>
        <v>324248571</v>
      </c>
      <c r="O202" t="s">
        <v>838</v>
      </c>
      <c r="P202" t="s">
        <v>24</v>
      </c>
    </row>
    <row r="203" spans="1:16" hidden="1" x14ac:dyDescent="0.25">
      <c r="A203">
        <v>129414</v>
      </c>
      <c r="B203" t="str">
        <f>"362604803"</f>
        <v>362604803</v>
      </c>
      <c r="C203" t="s">
        <v>16</v>
      </c>
      <c r="D203" t="s">
        <v>828</v>
      </c>
      <c r="E203" t="s">
        <v>112</v>
      </c>
      <c r="F203" t="s">
        <v>839</v>
      </c>
      <c r="G203" t="s">
        <v>839</v>
      </c>
      <c r="H203" t="s">
        <v>839</v>
      </c>
      <c r="I203" t="s">
        <v>30</v>
      </c>
      <c r="J203" t="s">
        <v>840</v>
      </c>
      <c r="K203" t="str">
        <f>"22A"</f>
        <v>22A</v>
      </c>
      <c r="L203" t="str">
        <f>""</f>
        <v/>
      </c>
      <c r="M203" t="str">
        <f>"22-100"</f>
        <v>22-100</v>
      </c>
      <c r="N203" t="str">
        <f>"823070330"</f>
        <v>823070330</v>
      </c>
      <c r="P203" t="s">
        <v>24</v>
      </c>
    </row>
    <row r="204" spans="1:16" hidden="1" x14ac:dyDescent="0.25">
      <c r="A204">
        <v>129136</v>
      </c>
      <c r="B204" t="str">
        <f>"362491701"</f>
        <v>362491701</v>
      </c>
      <c r="C204" t="s">
        <v>16</v>
      </c>
      <c r="D204" t="s">
        <v>828</v>
      </c>
      <c r="E204" t="s">
        <v>112</v>
      </c>
      <c r="F204" t="s">
        <v>841</v>
      </c>
      <c r="G204" t="s">
        <v>842</v>
      </c>
      <c r="H204" t="s">
        <v>842</v>
      </c>
      <c r="I204" t="s">
        <v>68</v>
      </c>
      <c r="J204" t="s">
        <v>817</v>
      </c>
      <c r="K204" t="str">
        <f>"29"</f>
        <v>29</v>
      </c>
      <c r="L204" t="str">
        <f>""</f>
        <v/>
      </c>
      <c r="M204" t="str">
        <f>"21-007"</f>
        <v>21-007</v>
      </c>
      <c r="N204" t="str">
        <f>"666614221"</f>
        <v>666614221</v>
      </c>
      <c r="O204" t="s">
        <v>843</v>
      </c>
      <c r="P204" t="s">
        <v>24</v>
      </c>
    </row>
    <row r="205" spans="1:16" hidden="1" x14ac:dyDescent="0.25">
      <c r="A205">
        <v>264664</v>
      </c>
      <c r="B205" t="str">
        <f>"368413441"</f>
        <v>368413441</v>
      </c>
      <c r="C205" t="s">
        <v>16</v>
      </c>
      <c r="D205" t="s">
        <v>828</v>
      </c>
      <c r="E205" t="s">
        <v>117</v>
      </c>
      <c r="F205" t="s">
        <v>382</v>
      </c>
      <c r="G205" t="s">
        <v>382</v>
      </c>
      <c r="H205" t="s">
        <v>382</v>
      </c>
      <c r="I205" t="s">
        <v>30</v>
      </c>
      <c r="J205" t="s">
        <v>844</v>
      </c>
      <c r="K205" t="str">
        <f>"5"</f>
        <v>5</v>
      </c>
      <c r="L205" t="str">
        <f>""</f>
        <v/>
      </c>
      <c r="M205" t="str">
        <f>"40-144"</f>
        <v>40-144</v>
      </c>
      <c r="N205" t="str">
        <f>"517301355"</f>
        <v>517301355</v>
      </c>
      <c r="O205" t="s">
        <v>845</v>
      </c>
      <c r="P205" t="s">
        <v>24</v>
      </c>
    </row>
    <row r="206" spans="1:16" hidden="1" x14ac:dyDescent="0.25">
      <c r="A206">
        <v>481430</v>
      </c>
      <c r="B206" t="str">
        <f>"527219377"</f>
        <v>527219377</v>
      </c>
      <c r="C206" t="s">
        <v>16</v>
      </c>
      <c r="D206" t="s">
        <v>828</v>
      </c>
      <c r="E206" t="s">
        <v>157</v>
      </c>
      <c r="F206" t="s">
        <v>846</v>
      </c>
      <c r="G206" t="s">
        <v>847</v>
      </c>
      <c r="H206" t="s">
        <v>847</v>
      </c>
      <c r="I206" t="s">
        <v>30</v>
      </c>
      <c r="J206" t="s">
        <v>848</v>
      </c>
      <c r="K206" t="str">
        <f>"2"</f>
        <v>2</v>
      </c>
      <c r="L206" t="str">
        <f>"1"</f>
        <v>1</v>
      </c>
      <c r="M206" t="str">
        <f>"62-065"</f>
        <v>62-065</v>
      </c>
      <c r="N206" t="str">
        <f>"509070934"</f>
        <v>509070934</v>
      </c>
      <c r="O206" t="s">
        <v>849</v>
      </c>
      <c r="P206" t="s">
        <v>24</v>
      </c>
    </row>
    <row r="207" spans="1:16" hidden="1" x14ac:dyDescent="0.25">
      <c r="A207">
        <v>126056</v>
      </c>
      <c r="B207" t="str">
        <f>"360147425"</f>
        <v>360147425</v>
      </c>
      <c r="C207" t="s">
        <v>16</v>
      </c>
      <c r="D207" t="s">
        <v>828</v>
      </c>
      <c r="E207" t="s">
        <v>80</v>
      </c>
      <c r="F207" t="s">
        <v>833</v>
      </c>
      <c r="G207" t="s">
        <v>850</v>
      </c>
      <c r="H207" t="s">
        <v>850</v>
      </c>
      <c r="I207" t="s">
        <v>68</v>
      </c>
      <c r="J207" t="s">
        <v>851</v>
      </c>
      <c r="K207" t="str">
        <f>"5"</f>
        <v>5</v>
      </c>
      <c r="L207" t="str">
        <f>""</f>
        <v/>
      </c>
      <c r="M207" t="str">
        <f>"83-260"</f>
        <v>83-260</v>
      </c>
      <c r="N207" t="str">
        <f>"665230759"</f>
        <v>665230759</v>
      </c>
      <c r="P207" t="s">
        <v>24</v>
      </c>
    </row>
    <row r="208" spans="1:16" hidden="1" x14ac:dyDescent="0.25">
      <c r="A208">
        <v>15662</v>
      </c>
      <c r="B208" t="str">
        <f>"021965445"</f>
        <v>021965445</v>
      </c>
      <c r="C208" t="s">
        <v>16</v>
      </c>
      <c r="D208" t="s">
        <v>828</v>
      </c>
      <c r="E208" t="s">
        <v>64</v>
      </c>
      <c r="F208" t="s">
        <v>852</v>
      </c>
      <c r="G208" t="s">
        <v>853</v>
      </c>
      <c r="H208" t="s">
        <v>853</v>
      </c>
      <c r="I208" t="s">
        <v>30</v>
      </c>
      <c r="J208" t="s">
        <v>854</v>
      </c>
      <c r="K208" t="str">
        <f>"12"</f>
        <v>12</v>
      </c>
      <c r="L208" t="str">
        <f>""</f>
        <v/>
      </c>
      <c r="M208" t="str">
        <f>"67-200"</f>
        <v>67-200</v>
      </c>
      <c r="N208" t="str">
        <f>"603073319"</f>
        <v>603073319</v>
      </c>
      <c r="O208" t="s">
        <v>855</v>
      </c>
      <c r="P208" t="s">
        <v>24</v>
      </c>
    </row>
    <row r="209" spans="1:16" hidden="1" x14ac:dyDescent="0.25">
      <c r="A209">
        <v>132348</v>
      </c>
      <c r="B209" t="str">
        <f>"365557599"</f>
        <v>365557599</v>
      </c>
      <c r="C209" t="s">
        <v>16</v>
      </c>
      <c r="D209" t="s">
        <v>828</v>
      </c>
      <c r="E209" t="s">
        <v>18</v>
      </c>
      <c r="F209" t="s">
        <v>106</v>
      </c>
      <c r="G209" t="s">
        <v>107</v>
      </c>
      <c r="H209" t="s">
        <v>107</v>
      </c>
      <c r="I209" t="s">
        <v>30</v>
      </c>
      <c r="J209" t="s">
        <v>628</v>
      </c>
      <c r="K209" t="str">
        <f>"38"</f>
        <v>38</v>
      </c>
      <c r="L209" t="str">
        <f>""</f>
        <v/>
      </c>
      <c r="M209" t="str">
        <f>"05-500"</f>
        <v>05-500</v>
      </c>
      <c r="N209" t="str">
        <f>"606556654"</f>
        <v>606556654</v>
      </c>
      <c r="O209" t="s">
        <v>856</v>
      </c>
      <c r="P209" t="s">
        <v>24</v>
      </c>
    </row>
    <row r="210" spans="1:16" hidden="1" x14ac:dyDescent="0.25">
      <c r="A210">
        <v>123402</v>
      </c>
      <c r="B210" t="str">
        <f>"101803011"</f>
        <v>101803011</v>
      </c>
      <c r="C210" t="s">
        <v>16</v>
      </c>
      <c r="D210" t="s">
        <v>828</v>
      </c>
      <c r="E210" t="s">
        <v>39</v>
      </c>
      <c r="F210" t="s">
        <v>857</v>
      </c>
      <c r="G210" t="s">
        <v>857</v>
      </c>
      <c r="H210" t="s">
        <v>857</v>
      </c>
      <c r="I210" t="s">
        <v>30</v>
      </c>
      <c r="J210" t="s">
        <v>858</v>
      </c>
      <c r="K210" t="str">
        <f>"68A"</f>
        <v>68A</v>
      </c>
      <c r="L210" t="str">
        <f>""</f>
        <v/>
      </c>
      <c r="M210" t="str">
        <f>"96-100"</f>
        <v>96-100</v>
      </c>
      <c r="N210" t="str">
        <f>"468335040"</f>
        <v>468335040</v>
      </c>
      <c r="O210" t="s">
        <v>859</v>
      </c>
      <c r="P210" t="s">
        <v>24</v>
      </c>
    </row>
    <row r="211" spans="1:16" hidden="1" x14ac:dyDescent="0.25">
      <c r="A211">
        <v>481075</v>
      </c>
      <c r="B211" t="str">
        <f>"526480553"</f>
        <v>526480553</v>
      </c>
      <c r="C211" t="s">
        <v>16</v>
      </c>
      <c r="D211" t="s">
        <v>828</v>
      </c>
      <c r="E211" t="s">
        <v>64</v>
      </c>
      <c r="F211" t="s">
        <v>841</v>
      </c>
      <c r="G211" t="s">
        <v>860</v>
      </c>
      <c r="H211" t="s">
        <v>860</v>
      </c>
      <c r="I211" t="s">
        <v>30</v>
      </c>
      <c r="J211" t="s">
        <v>861</v>
      </c>
      <c r="K211" t="str">
        <f>"20"</f>
        <v>20</v>
      </c>
      <c r="L211" t="str">
        <f>""</f>
        <v/>
      </c>
      <c r="M211" t="str">
        <f>"58-150"</f>
        <v>58-150</v>
      </c>
      <c r="N211" t="str">
        <f>"792300275"</f>
        <v>792300275</v>
      </c>
      <c r="O211" t="s">
        <v>862</v>
      </c>
      <c r="P211" t="s">
        <v>24</v>
      </c>
    </row>
    <row r="212" spans="1:16" hidden="1" x14ac:dyDescent="0.25">
      <c r="A212">
        <v>120433</v>
      </c>
      <c r="B212" t="str">
        <f>"281535660"</f>
        <v>281535660</v>
      </c>
      <c r="C212" t="s">
        <v>16</v>
      </c>
      <c r="D212" t="s">
        <v>828</v>
      </c>
      <c r="E212" t="s">
        <v>389</v>
      </c>
      <c r="F212" t="s">
        <v>863</v>
      </c>
      <c r="G212" t="s">
        <v>864</v>
      </c>
      <c r="H212" t="s">
        <v>864</v>
      </c>
      <c r="I212" t="s">
        <v>30</v>
      </c>
      <c r="J212" t="s">
        <v>628</v>
      </c>
      <c r="K212" t="str">
        <f>"9"</f>
        <v>9</v>
      </c>
      <c r="L212" t="str">
        <f>""</f>
        <v/>
      </c>
      <c r="M212" t="str">
        <f>"11-400"</f>
        <v>11-400</v>
      </c>
      <c r="N212" t="str">
        <f>"+48511719045"</f>
        <v>+48511719045</v>
      </c>
      <c r="O212" t="s">
        <v>865</v>
      </c>
      <c r="P212" t="s">
        <v>24</v>
      </c>
    </row>
    <row r="213" spans="1:16" hidden="1" x14ac:dyDescent="0.25">
      <c r="A213">
        <v>278393</v>
      </c>
      <c r="B213" t="str">
        <f>"389879404"</f>
        <v>389879404</v>
      </c>
      <c r="C213" t="s">
        <v>16</v>
      </c>
      <c r="D213" t="s">
        <v>828</v>
      </c>
      <c r="E213" t="s">
        <v>27</v>
      </c>
      <c r="F213" t="s">
        <v>866</v>
      </c>
      <c r="G213" t="s">
        <v>867</v>
      </c>
      <c r="H213" t="s">
        <v>868</v>
      </c>
      <c r="I213" t="s">
        <v>68</v>
      </c>
      <c r="K213" t="str">
        <f>"257A"</f>
        <v>257A</v>
      </c>
      <c r="L213" t="str">
        <f>""</f>
        <v/>
      </c>
      <c r="M213" t="str">
        <f>"34-532"</f>
        <v>34-532</v>
      </c>
      <c r="N213" t="str">
        <f>"661457709"</f>
        <v>661457709</v>
      </c>
      <c r="O213" t="s">
        <v>869</v>
      </c>
      <c r="P213" t="s">
        <v>24</v>
      </c>
    </row>
    <row r="214" spans="1:16" hidden="1" x14ac:dyDescent="0.25">
      <c r="A214">
        <v>130655</v>
      </c>
      <c r="B214" t="str">
        <f>"364289257"</f>
        <v>364289257</v>
      </c>
      <c r="C214" t="s">
        <v>16</v>
      </c>
      <c r="D214" t="s">
        <v>828</v>
      </c>
      <c r="E214" t="s">
        <v>240</v>
      </c>
      <c r="F214" t="s">
        <v>783</v>
      </c>
      <c r="G214" t="s">
        <v>784</v>
      </c>
      <c r="H214" t="s">
        <v>784</v>
      </c>
      <c r="I214" t="s">
        <v>30</v>
      </c>
      <c r="J214" t="s">
        <v>870</v>
      </c>
      <c r="K214" t="str">
        <f>"4"</f>
        <v>4</v>
      </c>
      <c r="L214" t="str">
        <f>"a"</f>
        <v>a</v>
      </c>
      <c r="M214" t="str">
        <f>"68-200"</f>
        <v>68-200</v>
      </c>
      <c r="N214" t="str">
        <f>"667908000"</f>
        <v>667908000</v>
      </c>
      <c r="P214" t="s">
        <v>24</v>
      </c>
    </row>
    <row r="215" spans="1:16" hidden="1" x14ac:dyDescent="0.25">
      <c r="A215">
        <v>127955</v>
      </c>
      <c r="B215" t="str">
        <f>"361999314"</f>
        <v>361999314</v>
      </c>
      <c r="C215" t="s">
        <v>16</v>
      </c>
      <c r="D215" t="s">
        <v>871</v>
      </c>
      <c r="E215" t="s">
        <v>117</v>
      </c>
      <c r="F215" t="s">
        <v>872</v>
      </c>
      <c r="G215" t="s">
        <v>873</v>
      </c>
      <c r="H215" t="s">
        <v>873</v>
      </c>
      <c r="I215" t="s">
        <v>30</v>
      </c>
      <c r="J215" t="s">
        <v>874</v>
      </c>
      <c r="K215" t="str">
        <f>"2E"</f>
        <v>2E</v>
      </c>
      <c r="L215" t="str">
        <f>""</f>
        <v/>
      </c>
      <c r="M215" t="str">
        <f>"43-173"</f>
        <v>43-173</v>
      </c>
      <c r="N215" t="str">
        <f>"693755089"</f>
        <v>693755089</v>
      </c>
      <c r="O215" t="s">
        <v>875</v>
      </c>
      <c r="P215" t="s">
        <v>24</v>
      </c>
    </row>
    <row r="216" spans="1:16" hidden="1" x14ac:dyDescent="0.25">
      <c r="A216">
        <v>272254</v>
      </c>
      <c r="B216" t="str">
        <f>"384070069"</f>
        <v>384070069</v>
      </c>
      <c r="C216" t="s">
        <v>16</v>
      </c>
      <c r="D216" t="s">
        <v>876</v>
      </c>
      <c r="E216" t="s">
        <v>157</v>
      </c>
      <c r="F216" t="s">
        <v>158</v>
      </c>
      <c r="G216" t="s">
        <v>877</v>
      </c>
      <c r="H216" t="s">
        <v>877</v>
      </c>
      <c r="I216" t="s">
        <v>42</v>
      </c>
      <c r="J216" t="s">
        <v>560</v>
      </c>
      <c r="K216" t="str">
        <f>"25"</f>
        <v>25</v>
      </c>
      <c r="L216" t="str">
        <f>""</f>
        <v/>
      </c>
      <c r="M216" t="str">
        <f>"61-113"</f>
        <v>61-113</v>
      </c>
      <c r="N216" t="str">
        <f>"729277640"</f>
        <v>729277640</v>
      </c>
      <c r="O216" t="s">
        <v>878</v>
      </c>
      <c r="P216" t="s">
        <v>24</v>
      </c>
    </row>
    <row r="217" spans="1:16" hidden="1" x14ac:dyDescent="0.25">
      <c r="A217">
        <v>481971</v>
      </c>
      <c r="B217" t="str">
        <f>"528925812"</f>
        <v>528925812</v>
      </c>
      <c r="C217" t="s">
        <v>16</v>
      </c>
      <c r="D217" t="s">
        <v>879</v>
      </c>
      <c r="E217" t="s">
        <v>18</v>
      </c>
      <c r="F217" t="s">
        <v>451</v>
      </c>
      <c r="G217" t="s">
        <v>880</v>
      </c>
      <c r="H217" t="s">
        <v>880</v>
      </c>
      <c r="I217" t="s">
        <v>30</v>
      </c>
      <c r="J217" t="s">
        <v>881</v>
      </c>
      <c r="K217" t="str">
        <f>"86"</f>
        <v>86</v>
      </c>
      <c r="L217" t="str">
        <f>"1"</f>
        <v>1</v>
      </c>
      <c r="M217" t="str">
        <f>"05-091"</f>
        <v>05-091</v>
      </c>
      <c r="N217" t="str">
        <f>"787027780"</f>
        <v>787027780</v>
      </c>
      <c r="O217" t="s">
        <v>882</v>
      </c>
      <c r="P217" t="s">
        <v>24</v>
      </c>
    </row>
    <row r="218" spans="1:16" hidden="1" x14ac:dyDescent="0.25">
      <c r="A218">
        <v>478592</v>
      </c>
      <c r="B218" t="str">
        <f>"522921948"</f>
        <v>522921948</v>
      </c>
      <c r="C218" t="s">
        <v>16</v>
      </c>
      <c r="D218" t="s">
        <v>883</v>
      </c>
      <c r="E218" t="s">
        <v>34</v>
      </c>
      <c r="F218" t="s">
        <v>35</v>
      </c>
      <c r="G218" t="s">
        <v>35</v>
      </c>
      <c r="H218" t="s">
        <v>35</v>
      </c>
      <c r="I218" t="s">
        <v>30</v>
      </c>
      <c r="J218" t="s">
        <v>754</v>
      </c>
      <c r="K218" t="str">
        <f>"32"</f>
        <v>32</v>
      </c>
      <c r="L218" t="str">
        <f>""</f>
        <v/>
      </c>
      <c r="M218" t="str">
        <f>"70-422"</f>
        <v>70-422</v>
      </c>
      <c r="N218" t="str">
        <f>""</f>
        <v/>
      </c>
      <c r="O218" t="s">
        <v>884</v>
      </c>
      <c r="P218" t="s">
        <v>24</v>
      </c>
    </row>
    <row r="219" spans="1:16" hidden="1" x14ac:dyDescent="0.25">
      <c r="A219">
        <v>127233</v>
      </c>
      <c r="B219" t="str">
        <f>"361244082"</f>
        <v>361244082</v>
      </c>
      <c r="C219" t="s">
        <v>16</v>
      </c>
      <c r="D219" t="s">
        <v>885</v>
      </c>
      <c r="E219" t="s">
        <v>18</v>
      </c>
      <c r="F219" t="s">
        <v>19</v>
      </c>
      <c r="G219" t="s">
        <v>886</v>
      </c>
      <c r="H219" t="s">
        <v>886</v>
      </c>
      <c r="I219" t="s">
        <v>21</v>
      </c>
      <c r="J219" t="s">
        <v>887</v>
      </c>
      <c r="K219" t="str">
        <f>"5"</f>
        <v>5</v>
      </c>
      <c r="L219" t="str">
        <f>""</f>
        <v/>
      </c>
      <c r="M219" t="str">
        <f>"00-791"</f>
        <v>00-791</v>
      </c>
      <c r="N219" t="str">
        <f>"793406969"</f>
        <v>793406969</v>
      </c>
      <c r="P219" t="s">
        <v>24</v>
      </c>
    </row>
    <row r="220" spans="1:16" hidden="1" x14ac:dyDescent="0.25">
      <c r="A220">
        <v>59597</v>
      </c>
      <c r="B220" t="str">
        <f>"146378225"</f>
        <v>146378225</v>
      </c>
      <c r="C220" t="s">
        <v>16</v>
      </c>
      <c r="D220" t="s">
        <v>888</v>
      </c>
      <c r="E220" t="s">
        <v>18</v>
      </c>
      <c r="F220" t="s">
        <v>134</v>
      </c>
      <c r="G220" t="s">
        <v>134</v>
      </c>
      <c r="H220" t="s">
        <v>134</v>
      </c>
      <c r="I220" t="s">
        <v>30</v>
      </c>
      <c r="J220" t="s">
        <v>889</v>
      </c>
      <c r="K220" t="str">
        <f>"22A"</f>
        <v>22A</v>
      </c>
      <c r="L220" t="str">
        <f>""</f>
        <v/>
      </c>
      <c r="M220" t="str">
        <f>"09-402"</f>
        <v>09-402</v>
      </c>
      <c r="N220" t="str">
        <f>"24364-94-95"</f>
        <v>24364-94-95</v>
      </c>
      <c r="O220" t="s">
        <v>890</v>
      </c>
      <c r="P220" t="s">
        <v>24</v>
      </c>
    </row>
    <row r="221" spans="1:16" hidden="1" x14ac:dyDescent="0.25">
      <c r="A221">
        <v>279083</v>
      </c>
      <c r="B221" t="str">
        <f>"520584837"</f>
        <v>520584837</v>
      </c>
      <c r="C221" t="s">
        <v>16</v>
      </c>
      <c r="D221" t="s">
        <v>891</v>
      </c>
      <c r="E221" t="s">
        <v>117</v>
      </c>
      <c r="F221" t="s">
        <v>892</v>
      </c>
      <c r="G221" t="s">
        <v>892</v>
      </c>
      <c r="H221" t="s">
        <v>892</v>
      </c>
      <c r="I221" t="s">
        <v>30</v>
      </c>
      <c r="J221" t="s">
        <v>817</v>
      </c>
      <c r="K221" t="str">
        <f>"39"</f>
        <v>39</v>
      </c>
      <c r="L221" t="str">
        <f>""</f>
        <v/>
      </c>
      <c r="M221" t="str">
        <f>"41-103"</f>
        <v>41-103</v>
      </c>
      <c r="N221" t="str">
        <f>"500786029"</f>
        <v>500786029</v>
      </c>
      <c r="O221" t="s">
        <v>893</v>
      </c>
      <c r="P221" t="s">
        <v>24</v>
      </c>
    </row>
    <row r="222" spans="1:16" hidden="1" x14ac:dyDescent="0.25">
      <c r="A222">
        <v>129422</v>
      </c>
      <c r="B222" t="str">
        <f>"362597144"</f>
        <v>362597144</v>
      </c>
      <c r="C222" t="s">
        <v>16</v>
      </c>
      <c r="D222" t="s">
        <v>894</v>
      </c>
      <c r="E222" t="s">
        <v>18</v>
      </c>
      <c r="F222" t="s">
        <v>106</v>
      </c>
      <c r="G222" t="s">
        <v>895</v>
      </c>
      <c r="H222" t="s">
        <v>896</v>
      </c>
      <c r="I222" t="s">
        <v>68</v>
      </c>
      <c r="J222" t="s">
        <v>897</v>
      </c>
      <c r="K222" t="str">
        <f>"86"</f>
        <v>86</v>
      </c>
      <c r="L222" t="str">
        <f>""</f>
        <v/>
      </c>
      <c r="M222" t="str">
        <f>"05-500"</f>
        <v>05-500</v>
      </c>
      <c r="N222" t="str">
        <f>"695353235"</f>
        <v>695353235</v>
      </c>
      <c r="O222" t="s">
        <v>898</v>
      </c>
      <c r="P222" t="s">
        <v>24</v>
      </c>
    </row>
    <row r="223" spans="1:16" hidden="1" x14ac:dyDescent="0.25">
      <c r="A223">
        <v>112112</v>
      </c>
      <c r="B223" t="str">
        <f>"243214916"</f>
        <v>243214916</v>
      </c>
      <c r="C223" t="s">
        <v>16</v>
      </c>
      <c r="D223" t="s">
        <v>899</v>
      </c>
      <c r="E223" t="s">
        <v>117</v>
      </c>
      <c r="F223" t="s">
        <v>118</v>
      </c>
      <c r="G223" t="s">
        <v>118</v>
      </c>
      <c r="H223" t="s">
        <v>118</v>
      </c>
      <c r="I223" t="s">
        <v>30</v>
      </c>
      <c r="J223" t="s">
        <v>900</v>
      </c>
      <c r="K223" t="str">
        <f>"17"</f>
        <v>17</v>
      </c>
      <c r="L223" t="str">
        <f>""</f>
        <v/>
      </c>
      <c r="M223" t="str">
        <f>"42-202"</f>
        <v>42-202</v>
      </c>
      <c r="N223" t="str">
        <f>"787484983"</f>
        <v>787484983</v>
      </c>
      <c r="O223" t="s">
        <v>901</v>
      </c>
      <c r="P223" t="s">
        <v>24</v>
      </c>
    </row>
    <row r="224" spans="1:16" hidden="1" x14ac:dyDescent="0.25">
      <c r="A224">
        <v>481868</v>
      </c>
      <c r="B224" t="str">
        <f>"528608046"</f>
        <v>528608046</v>
      </c>
      <c r="C224" t="s">
        <v>16</v>
      </c>
      <c r="D224" t="s">
        <v>903</v>
      </c>
      <c r="E224" t="s">
        <v>34</v>
      </c>
      <c r="F224" t="s">
        <v>421</v>
      </c>
      <c r="G224" t="s">
        <v>421</v>
      </c>
      <c r="H224" t="s">
        <v>421</v>
      </c>
      <c r="I224" t="s">
        <v>30</v>
      </c>
      <c r="J224" t="s">
        <v>904</v>
      </c>
      <c r="K224" t="str">
        <f>"57"</f>
        <v>57</v>
      </c>
      <c r="L224" t="str">
        <f>""</f>
        <v/>
      </c>
      <c r="M224" t="str">
        <f>"75-430"</f>
        <v>75-430</v>
      </c>
      <c r="N224" t="str">
        <f>"600035037"</f>
        <v>600035037</v>
      </c>
      <c r="P224" t="s">
        <v>24</v>
      </c>
    </row>
    <row r="225" spans="1:16" hidden="1" x14ac:dyDescent="0.25">
      <c r="A225">
        <v>478362</v>
      </c>
      <c r="B225" t="str">
        <f>"522693068"</f>
        <v>522693068</v>
      </c>
      <c r="C225" t="s">
        <v>16</v>
      </c>
      <c r="D225" t="s">
        <v>906</v>
      </c>
      <c r="E225" t="s">
        <v>181</v>
      </c>
      <c r="F225" t="s">
        <v>182</v>
      </c>
      <c r="G225" t="s">
        <v>183</v>
      </c>
      <c r="H225" t="s">
        <v>183</v>
      </c>
      <c r="I225" t="s">
        <v>30</v>
      </c>
      <c r="J225" t="s">
        <v>60</v>
      </c>
      <c r="K225" t="str">
        <f>"6"</f>
        <v>6</v>
      </c>
      <c r="L225" t="str">
        <f>""</f>
        <v/>
      </c>
      <c r="M225" t="str">
        <f>"88-100"</f>
        <v>88-100</v>
      </c>
      <c r="N225" t="str">
        <f>"525670795"</f>
        <v>525670795</v>
      </c>
      <c r="O225" t="s">
        <v>460</v>
      </c>
      <c r="P225" t="s">
        <v>24</v>
      </c>
    </row>
    <row r="226" spans="1:16" hidden="1" x14ac:dyDescent="0.25">
      <c r="A226">
        <v>266021</v>
      </c>
      <c r="B226" t="str">
        <f>"369144291"</f>
        <v>369144291</v>
      </c>
      <c r="C226" t="s">
        <v>16</v>
      </c>
      <c r="D226" t="s">
        <v>907</v>
      </c>
      <c r="E226" t="s">
        <v>18</v>
      </c>
      <c r="F226" t="s">
        <v>604</v>
      </c>
      <c r="G226" t="s">
        <v>605</v>
      </c>
      <c r="H226" t="s">
        <v>605</v>
      </c>
      <c r="I226" t="s">
        <v>30</v>
      </c>
      <c r="J226" t="s">
        <v>908</v>
      </c>
      <c r="K226" t="str">
        <f>"9b"</f>
        <v>9b</v>
      </c>
      <c r="L226" t="str">
        <f>""</f>
        <v/>
      </c>
      <c r="M226" t="str">
        <f>"96-500"</f>
        <v>96-500</v>
      </c>
      <c r="N226" t="str">
        <f>"608311508"</f>
        <v>608311508</v>
      </c>
      <c r="O226" t="s">
        <v>909</v>
      </c>
      <c r="P226" t="s">
        <v>24</v>
      </c>
    </row>
    <row r="227" spans="1:16" hidden="1" x14ac:dyDescent="0.25">
      <c r="A227">
        <v>123242</v>
      </c>
      <c r="B227" t="str">
        <f>"200862089"</f>
        <v>200862089</v>
      </c>
      <c r="C227" t="s">
        <v>16</v>
      </c>
      <c r="D227" t="s">
        <v>910</v>
      </c>
      <c r="E227" t="s">
        <v>97</v>
      </c>
      <c r="F227" t="s">
        <v>98</v>
      </c>
      <c r="G227" t="s">
        <v>98</v>
      </c>
      <c r="H227" t="s">
        <v>98</v>
      </c>
      <c r="I227" t="s">
        <v>30</v>
      </c>
      <c r="J227" t="s">
        <v>911</v>
      </c>
      <c r="K227" t="str">
        <f>"10A"</f>
        <v>10A</v>
      </c>
      <c r="L227" t="str">
        <f>"104"</f>
        <v>104</v>
      </c>
      <c r="M227" t="str">
        <f>"15-703"</f>
        <v>15-703</v>
      </c>
      <c r="N227" t="str">
        <f>"533604901"</f>
        <v>533604901</v>
      </c>
      <c r="O227" t="s">
        <v>912</v>
      </c>
      <c r="P227" t="s">
        <v>24</v>
      </c>
    </row>
    <row r="228" spans="1:16" hidden="1" x14ac:dyDescent="0.25">
      <c r="A228">
        <v>123610</v>
      </c>
      <c r="B228" t="str">
        <f>"243617896"</f>
        <v>243617896</v>
      </c>
      <c r="C228" t="s">
        <v>16</v>
      </c>
      <c r="D228" t="s">
        <v>914</v>
      </c>
      <c r="E228" t="s">
        <v>117</v>
      </c>
      <c r="F228" t="s">
        <v>168</v>
      </c>
      <c r="G228" t="s">
        <v>168</v>
      </c>
      <c r="H228" t="s">
        <v>168</v>
      </c>
      <c r="I228" t="s">
        <v>30</v>
      </c>
      <c r="J228" t="s">
        <v>57</v>
      </c>
      <c r="K228" t="str">
        <f>"60-62"</f>
        <v>60-62</v>
      </c>
      <c r="L228" t="str">
        <f>""</f>
        <v/>
      </c>
      <c r="M228" t="str">
        <f>"43-300"</f>
        <v>43-300</v>
      </c>
      <c r="N228" t="str">
        <f>"533585976"</f>
        <v>533585976</v>
      </c>
      <c r="P228" t="s">
        <v>24</v>
      </c>
    </row>
    <row r="229" spans="1:16" hidden="1" x14ac:dyDescent="0.25">
      <c r="A229">
        <v>124042</v>
      </c>
      <c r="B229" t="str">
        <f>"243641328"</f>
        <v>243641328</v>
      </c>
      <c r="C229" t="s">
        <v>16</v>
      </c>
      <c r="D229" t="s">
        <v>915</v>
      </c>
      <c r="E229" t="s">
        <v>117</v>
      </c>
      <c r="F229" t="s">
        <v>913</v>
      </c>
      <c r="G229" t="s">
        <v>913</v>
      </c>
      <c r="H229" t="s">
        <v>913</v>
      </c>
      <c r="I229" t="s">
        <v>30</v>
      </c>
      <c r="J229" t="s">
        <v>464</v>
      </c>
      <c r="K229" t="str">
        <f>"8b"</f>
        <v>8b</v>
      </c>
      <c r="L229" t="str">
        <f>""</f>
        <v/>
      </c>
      <c r="M229" t="str">
        <f>"41-500"</f>
        <v>41-500</v>
      </c>
      <c r="N229" t="str">
        <f>"533309667"</f>
        <v>533309667</v>
      </c>
      <c r="O229" t="s">
        <v>916</v>
      </c>
      <c r="P229" t="s">
        <v>24</v>
      </c>
    </row>
    <row r="230" spans="1:16" hidden="1" x14ac:dyDescent="0.25">
      <c r="A230">
        <v>124746</v>
      </c>
      <c r="B230" t="str">
        <f>"222154412"</f>
        <v>222154412</v>
      </c>
      <c r="C230" t="s">
        <v>16</v>
      </c>
      <c r="D230" t="s">
        <v>917</v>
      </c>
      <c r="E230" t="s">
        <v>80</v>
      </c>
      <c r="F230" t="s">
        <v>81</v>
      </c>
      <c r="G230" t="s">
        <v>81</v>
      </c>
      <c r="H230" t="s">
        <v>81</v>
      </c>
      <c r="I230" t="s">
        <v>30</v>
      </c>
      <c r="J230" t="s">
        <v>918</v>
      </c>
      <c r="K230" t="str">
        <f>"9"</f>
        <v>9</v>
      </c>
      <c r="L230" t="str">
        <f>""</f>
        <v/>
      </c>
      <c r="M230" t="str">
        <f>"76-200"</f>
        <v>76-200</v>
      </c>
      <c r="N230" t="str">
        <f>"533230487"</f>
        <v>533230487</v>
      </c>
      <c r="O230" t="s">
        <v>919</v>
      </c>
      <c r="P230" t="s">
        <v>24</v>
      </c>
    </row>
    <row r="231" spans="1:16" hidden="1" x14ac:dyDescent="0.25">
      <c r="A231">
        <v>123651</v>
      </c>
      <c r="B231" t="str">
        <f>"243621165"</f>
        <v>243621165</v>
      </c>
      <c r="C231" t="s">
        <v>16</v>
      </c>
      <c r="D231" t="s">
        <v>920</v>
      </c>
      <c r="E231" t="s">
        <v>117</v>
      </c>
      <c r="F231" t="s">
        <v>921</v>
      </c>
      <c r="G231" t="s">
        <v>921</v>
      </c>
      <c r="H231" t="s">
        <v>921</v>
      </c>
      <c r="I231" t="s">
        <v>30</v>
      </c>
      <c r="J231" t="s">
        <v>922</v>
      </c>
      <c r="K231" t="str">
        <f>"21"</f>
        <v>21</v>
      </c>
      <c r="L231" t="str">
        <f>""</f>
        <v/>
      </c>
      <c r="M231" t="str">
        <f>"41-200"</f>
        <v>41-200</v>
      </c>
      <c r="N231" t="str">
        <f>"531460329"</f>
        <v>531460329</v>
      </c>
      <c r="O231" t="s">
        <v>923</v>
      </c>
      <c r="P231" t="s">
        <v>24</v>
      </c>
    </row>
    <row r="232" spans="1:16" hidden="1" x14ac:dyDescent="0.25">
      <c r="A232">
        <v>64790</v>
      </c>
      <c r="B232" t="str">
        <f>"146433585"</f>
        <v>146433585</v>
      </c>
      <c r="C232" t="s">
        <v>16</v>
      </c>
      <c r="D232" t="s">
        <v>924</v>
      </c>
      <c r="E232" t="s">
        <v>18</v>
      </c>
      <c r="F232" t="s">
        <v>846</v>
      </c>
      <c r="G232" t="s">
        <v>925</v>
      </c>
      <c r="H232" t="s">
        <v>925</v>
      </c>
      <c r="I232" t="s">
        <v>30</v>
      </c>
      <c r="J232" t="s">
        <v>57</v>
      </c>
      <c r="K232" t="str">
        <f>"48"</f>
        <v>48</v>
      </c>
      <c r="L232" t="str">
        <f>""</f>
        <v/>
      </c>
      <c r="M232" t="str">
        <f>"05-825"</f>
        <v>05-825</v>
      </c>
      <c r="N232" t="str">
        <f>"507138788"</f>
        <v>507138788</v>
      </c>
      <c r="O232" t="s">
        <v>926</v>
      </c>
      <c r="P232" t="s">
        <v>24</v>
      </c>
    </row>
    <row r="233" spans="1:16" hidden="1" x14ac:dyDescent="0.25">
      <c r="A233">
        <v>266922</v>
      </c>
      <c r="B233" t="str">
        <f>"369743703"</f>
        <v>369743703</v>
      </c>
      <c r="C233" t="s">
        <v>16</v>
      </c>
      <c r="D233" t="s">
        <v>927</v>
      </c>
      <c r="E233" t="s">
        <v>157</v>
      </c>
      <c r="F233" t="s">
        <v>158</v>
      </c>
      <c r="G233" t="s">
        <v>928</v>
      </c>
      <c r="H233" t="s">
        <v>928</v>
      </c>
      <c r="I233" t="s">
        <v>42</v>
      </c>
      <c r="J233" t="s">
        <v>929</v>
      </c>
      <c r="K233" t="str">
        <f>"16G"</f>
        <v>16G</v>
      </c>
      <c r="L233" t="str">
        <f>"116"</f>
        <v>116</v>
      </c>
      <c r="M233" t="str">
        <f>"61-719"</f>
        <v>61-719</v>
      </c>
      <c r="N233" t="str">
        <f>"539920115"</f>
        <v>539920115</v>
      </c>
      <c r="O233" t="s">
        <v>930</v>
      </c>
      <c r="P233" t="s">
        <v>24</v>
      </c>
    </row>
    <row r="234" spans="1:16" hidden="1" x14ac:dyDescent="0.25">
      <c r="A234">
        <v>276741</v>
      </c>
      <c r="B234" t="str">
        <f>"387470740"</f>
        <v>387470740</v>
      </c>
      <c r="C234" t="s">
        <v>16</v>
      </c>
      <c r="D234" t="s">
        <v>931</v>
      </c>
      <c r="E234" t="s">
        <v>80</v>
      </c>
      <c r="F234" t="s">
        <v>932</v>
      </c>
      <c r="G234" t="s">
        <v>933</v>
      </c>
      <c r="H234" t="s">
        <v>933</v>
      </c>
      <c r="I234" t="s">
        <v>30</v>
      </c>
      <c r="J234" t="s">
        <v>934</v>
      </c>
      <c r="K234" t="str">
        <f>"70"</f>
        <v>70</v>
      </c>
      <c r="L234" t="str">
        <f>""</f>
        <v/>
      </c>
      <c r="M234" t="str">
        <f>"83-110"</f>
        <v>83-110</v>
      </c>
      <c r="N234" t="str">
        <f>"697302902"</f>
        <v>697302902</v>
      </c>
      <c r="O234" t="s">
        <v>935</v>
      </c>
      <c r="P234" t="s">
        <v>24</v>
      </c>
    </row>
    <row r="235" spans="1:16" hidden="1" x14ac:dyDescent="0.25">
      <c r="A235">
        <v>130540</v>
      </c>
      <c r="B235" t="str">
        <f>"364167933"</f>
        <v>364167933</v>
      </c>
      <c r="C235" t="s">
        <v>16</v>
      </c>
      <c r="D235" t="s">
        <v>936</v>
      </c>
      <c r="E235" t="s">
        <v>112</v>
      </c>
      <c r="F235" t="s">
        <v>839</v>
      </c>
      <c r="G235" t="s">
        <v>839</v>
      </c>
      <c r="H235" t="s">
        <v>839</v>
      </c>
      <c r="I235" t="s">
        <v>30</v>
      </c>
      <c r="J235" t="s">
        <v>937</v>
      </c>
      <c r="K235" t="str">
        <f>"4B"</f>
        <v>4B</v>
      </c>
      <c r="L235" t="str">
        <f>""</f>
        <v/>
      </c>
      <c r="M235" t="str">
        <f>"22-100"</f>
        <v>22-100</v>
      </c>
      <c r="N235" t="str">
        <f>"825421472"</f>
        <v>825421472</v>
      </c>
      <c r="P235" t="s">
        <v>24</v>
      </c>
    </row>
    <row r="236" spans="1:16" hidden="1" x14ac:dyDescent="0.25">
      <c r="A236">
        <v>129172</v>
      </c>
      <c r="B236" t="str">
        <f>"362503249"</f>
        <v>362503249</v>
      </c>
      <c r="C236" t="s">
        <v>16</v>
      </c>
      <c r="D236" t="s">
        <v>938</v>
      </c>
      <c r="E236" t="s">
        <v>389</v>
      </c>
      <c r="F236" t="s">
        <v>447</v>
      </c>
      <c r="G236" t="s">
        <v>447</v>
      </c>
      <c r="H236" t="s">
        <v>447</v>
      </c>
      <c r="I236" t="s">
        <v>30</v>
      </c>
      <c r="J236" t="s">
        <v>939</v>
      </c>
      <c r="K236" t="str">
        <f>"1"</f>
        <v>1</v>
      </c>
      <c r="L236" t="str">
        <f>""</f>
        <v/>
      </c>
      <c r="M236" t="str">
        <f>"10-424"</f>
        <v>10-424</v>
      </c>
      <c r="N236" t="str">
        <f>"895236910"</f>
        <v>895236910</v>
      </c>
      <c r="O236" t="s">
        <v>940</v>
      </c>
      <c r="P236" t="s">
        <v>24</v>
      </c>
    </row>
    <row r="237" spans="1:16" hidden="1" x14ac:dyDescent="0.25">
      <c r="A237">
        <v>478444</v>
      </c>
      <c r="B237" t="str">
        <f>"522792511"</f>
        <v>522792511</v>
      </c>
      <c r="C237" t="s">
        <v>16</v>
      </c>
      <c r="D237" t="s">
        <v>941</v>
      </c>
      <c r="E237" t="s">
        <v>18</v>
      </c>
      <c r="F237" t="s">
        <v>19</v>
      </c>
      <c r="G237" t="s">
        <v>942</v>
      </c>
      <c r="H237" t="s">
        <v>942</v>
      </c>
      <c r="I237" t="s">
        <v>21</v>
      </c>
      <c r="J237" t="s">
        <v>370</v>
      </c>
      <c r="K237" t="str">
        <f>"9"</f>
        <v>9</v>
      </c>
      <c r="L237" t="str">
        <f>"4"</f>
        <v>4</v>
      </c>
      <c r="M237" t="str">
        <f>"03-704"</f>
        <v>03-704</v>
      </c>
      <c r="N237" t="str">
        <f>"661776088"</f>
        <v>661776088</v>
      </c>
      <c r="O237" t="s">
        <v>943</v>
      </c>
      <c r="P237" t="s">
        <v>24</v>
      </c>
    </row>
    <row r="238" spans="1:16" hidden="1" x14ac:dyDescent="0.25">
      <c r="A238">
        <v>87221</v>
      </c>
      <c r="B238" t="str">
        <f>"146423233"</f>
        <v>146423233</v>
      </c>
      <c r="C238" t="s">
        <v>16</v>
      </c>
      <c r="D238" t="s">
        <v>944</v>
      </c>
      <c r="E238" t="s">
        <v>18</v>
      </c>
      <c r="F238" t="s">
        <v>134</v>
      </c>
      <c r="G238" t="s">
        <v>134</v>
      </c>
      <c r="H238" t="s">
        <v>134</v>
      </c>
      <c r="I238" t="s">
        <v>30</v>
      </c>
      <c r="J238" t="s">
        <v>945</v>
      </c>
      <c r="K238" t="str">
        <f>"21"</f>
        <v>21</v>
      </c>
      <c r="L238" t="str">
        <f>""</f>
        <v/>
      </c>
      <c r="M238" t="str">
        <f>"09-407"</f>
        <v>09-407</v>
      </c>
      <c r="N238" t="str">
        <f>"697832961"</f>
        <v>697832961</v>
      </c>
      <c r="O238" t="s">
        <v>946</v>
      </c>
      <c r="P238" t="s">
        <v>24</v>
      </c>
    </row>
    <row r="239" spans="1:16" hidden="1" x14ac:dyDescent="0.25">
      <c r="A239">
        <v>481659</v>
      </c>
      <c r="B239" t="str">
        <f>"527879694"</f>
        <v>527879694</v>
      </c>
      <c r="C239" t="s">
        <v>16</v>
      </c>
      <c r="D239" t="s">
        <v>947</v>
      </c>
      <c r="E239" t="s">
        <v>64</v>
      </c>
      <c r="F239" t="s">
        <v>255</v>
      </c>
      <c r="G239" t="s">
        <v>256</v>
      </c>
      <c r="H239" t="s">
        <v>256</v>
      </c>
      <c r="I239" t="s">
        <v>42</v>
      </c>
      <c r="J239" t="s">
        <v>948</v>
      </c>
      <c r="K239" t="str">
        <f>"3"</f>
        <v>3</v>
      </c>
      <c r="L239" t="str">
        <f>""</f>
        <v/>
      </c>
      <c r="M239" t="str">
        <f>"52-007"</f>
        <v>52-007</v>
      </c>
      <c r="N239" t="str">
        <f>"666521512"</f>
        <v>666521512</v>
      </c>
      <c r="O239" t="s">
        <v>949</v>
      </c>
      <c r="P239" t="s">
        <v>24</v>
      </c>
    </row>
    <row r="240" spans="1:16" hidden="1" x14ac:dyDescent="0.25">
      <c r="A240">
        <v>38914</v>
      </c>
      <c r="B240" t="str">
        <f>"146353410"</f>
        <v>146353410</v>
      </c>
      <c r="C240" t="s">
        <v>16</v>
      </c>
      <c r="D240" t="s">
        <v>950</v>
      </c>
      <c r="E240" t="s">
        <v>18</v>
      </c>
      <c r="F240" t="s">
        <v>106</v>
      </c>
      <c r="G240" t="s">
        <v>895</v>
      </c>
      <c r="H240" t="s">
        <v>951</v>
      </c>
      <c r="I240" t="s">
        <v>68</v>
      </c>
      <c r="J240" t="s">
        <v>952</v>
      </c>
      <c r="K240" t="str">
        <f>"1"</f>
        <v>1</v>
      </c>
      <c r="L240" t="str">
        <f>""</f>
        <v/>
      </c>
      <c r="M240" t="str">
        <f>"05-506"</f>
        <v>05-506</v>
      </c>
      <c r="N240" t="str">
        <f>"517216734"</f>
        <v>517216734</v>
      </c>
      <c r="O240" t="s">
        <v>953</v>
      </c>
      <c r="P240" t="s">
        <v>24</v>
      </c>
    </row>
    <row r="241" spans="1:16" hidden="1" x14ac:dyDescent="0.25">
      <c r="A241">
        <v>127797</v>
      </c>
      <c r="B241" t="str">
        <f>"361857755"</f>
        <v>361857755</v>
      </c>
      <c r="C241" t="s">
        <v>16</v>
      </c>
      <c r="D241" t="s">
        <v>954</v>
      </c>
      <c r="E241" t="s">
        <v>112</v>
      </c>
      <c r="F241" t="s">
        <v>839</v>
      </c>
      <c r="G241" t="s">
        <v>839</v>
      </c>
      <c r="H241" t="s">
        <v>839</v>
      </c>
      <c r="I241" t="s">
        <v>30</v>
      </c>
      <c r="J241" t="s">
        <v>955</v>
      </c>
      <c r="K241" t="str">
        <f>"9"</f>
        <v>9</v>
      </c>
      <c r="L241" t="str">
        <f>""</f>
        <v/>
      </c>
      <c r="M241" t="str">
        <f>"22-100"</f>
        <v>22-100</v>
      </c>
      <c r="N241" t="str">
        <f>"501693846"</f>
        <v>501693846</v>
      </c>
      <c r="P241" t="s">
        <v>24</v>
      </c>
    </row>
    <row r="242" spans="1:16" hidden="1" x14ac:dyDescent="0.25">
      <c r="A242">
        <v>131012</v>
      </c>
      <c r="B242" t="str">
        <f>"364867122"</f>
        <v>364867122</v>
      </c>
      <c r="C242" t="s">
        <v>16</v>
      </c>
      <c r="D242" t="s">
        <v>957</v>
      </c>
      <c r="E242" t="s">
        <v>117</v>
      </c>
      <c r="F242" t="s">
        <v>958</v>
      </c>
      <c r="G242" t="s">
        <v>958</v>
      </c>
      <c r="H242" t="s">
        <v>958</v>
      </c>
      <c r="I242" t="s">
        <v>30</v>
      </c>
      <c r="J242" t="s">
        <v>959</v>
      </c>
      <c r="K242" t="str">
        <f>"1"</f>
        <v>1</v>
      </c>
      <c r="L242" t="str">
        <f>"137"</f>
        <v>137</v>
      </c>
      <c r="M242" t="str">
        <f>"44-335"</f>
        <v>44-335</v>
      </c>
      <c r="N242" t="str">
        <f>"513472420"</f>
        <v>513472420</v>
      </c>
      <c r="O242" t="s">
        <v>960</v>
      </c>
      <c r="P242" t="s">
        <v>24</v>
      </c>
    </row>
    <row r="243" spans="1:16" hidden="1" x14ac:dyDescent="0.25">
      <c r="A243">
        <v>131736</v>
      </c>
      <c r="B243" t="str">
        <f>"365340121"</f>
        <v>365340121</v>
      </c>
      <c r="C243" t="s">
        <v>16</v>
      </c>
      <c r="D243" t="s">
        <v>961</v>
      </c>
      <c r="E243" t="s">
        <v>18</v>
      </c>
      <c r="F243" t="s">
        <v>19</v>
      </c>
      <c r="G243" t="s">
        <v>20</v>
      </c>
      <c r="H243" t="s">
        <v>20</v>
      </c>
      <c r="I243" t="s">
        <v>21</v>
      </c>
      <c r="J243" t="s">
        <v>962</v>
      </c>
      <c r="K243" t="str">
        <f>"479"</f>
        <v>479</v>
      </c>
      <c r="L243" t="str">
        <f>"5"</f>
        <v>5</v>
      </c>
      <c r="M243" t="str">
        <f>"02-844"</f>
        <v>02-844</v>
      </c>
      <c r="N243" t="str">
        <f>"519056120"</f>
        <v>519056120</v>
      </c>
      <c r="O243" t="s">
        <v>963</v>
      </c>
      <c r="P243" t="s">
        <v>24</v>
      </c>
    </row>
    <row r="244" spans="1:16" hidden="1" x14ac:dyDescent="0.25">
      <c r="A244">
        <v>129211</v>
      </c>
      <c r="B244" t="str">
        <f>"362525877"</f>
        <v>362525877</v>
      </c>
      <c r="C244" t="s">
        <v>16</v>
      </c>
      <c r="D244" t="s">
        <v>964</v>
      </c>
      <c r="E244" t="s">
        <v>18</v>
      </c>
      <c r="F244" t="s">
        <v>19</v>
      </c>
      <c r="G244" t="s">
        <v>20</v>
      </c>
      <c r="H244" t="s">
        <v>20</v>
      </c>
      <c r="I244" t="s">
        <v>21</v>
      </c>
      <c r="J244" t="s">
        <v>965</v>
      </c>
      <c r="K244" t="str">
        <f>"19"</f>
        <v>19</v>
      </c>
      <c r="L244" t="str">
        <f>"18u"</f>
        <v>18u</v>
      </c>
      <c r="M244" t="str">
        <f>"02-791"</f>
        <v>02-791</v>
      </c>
      <c r="N244" t="str">
        <f>"781016383"</f>
        <v>781016383</v>
      </c>
      <c r="P244" t="s">
        <v>24</v>
      </c>
    </row>
    <row r="245" spans="1:16" hidden="1" x14ac:dyDescent="0.25">
      <c r="A245">
        <v>130229</v>
      </c>
      <c r="B245" t="str">
        <f>"363670647"</f>
        <v>363670647</v>
      </c>
      <c r="C245" t="s">
        <v>16</v>
      </c>
      <c r="D245" t="s">
        <v>966</v>
      </c>
      <c r="E245" t="s">
        <v>117</v>
      </c>
      <c r="F245" t="s">
        <v>967</v>
      </c>
      <c r="G245" t="s">
        <v>967</v>
      </c>
      <c r="H245" t="s">
        <v>967</v>
      </c>
      <c r="I245" t="s">
        <v>30</v>
      </c>
      <c r="J245" t="s">
        <v>968</v>
      </c>
      <c r="K245" t="str">
        <f>"14a"</f>
        <v>14a</v>
      </c>
      <c r="L245" t="str">
        <f>""</f>
        <v/>
      </c>
      <c r="M245" t="str">
        <f>"41-300"</f>
        <v>41-300</v>
      </c>
      <c r="N245" t="str">
        <f>"327482061"</f>
        <v>327482061</v>
      </c>
      <c r="O245" t="s">
        <v>969</v>
      </c>
      <c r="P245" t="s">
        <v>24</v>
      </c>
    </row>
    <row r="246" spans="1:16" hidden="1" x14ac:dyDescent="0.25">
      <c r="A246">
        <v>265244</v>
      </c>
      <c r="B246" t="str">
        <f>"368680366"</f>
        <v>368680366</v>
      </c>
      <c r="C246" t="s">
        <v>16</v>
      </c>
      <c r="D246" t="s">
        <v>970</v>
      </c>
      <c r="E246" t="s">
        <v>34</v>
      </c>
      <c r="F246" t="s">
        <v>531</v>
      </c>
      <c r="G246" t="s">
        <v>532</v>
      </c>
      <c r="H246" t="s">
        <v>532</v>
      </c>
      <c r="I246" t="s">
        <v>30</v>
      </c>
      <c r="J246" t="s">
        <v>971</v>
      </c>
      <c r="K246" t="str">
        <f>"3 A-F"</f>
        <v>3 A-F</v>
      </c>
      <c r="L246" t="str">
        <f>""</f>
        <v/>
      </c>
      <c r="M246" t="str">
        <f>"78-100"</f>
        <v>78-100</v>
      </c>
      <c r="N246" t="str">
        <f>"605697823"</f>
        <v>605697823</v>
      </c>
      <c r="O246" t="s">
        <v>972</v>
      </c>
      <c r="P246" t="s">
        <v>24</v>
      </c>
    </row>
    <row r="247" spans="1:16" hidden="1" x14ac:dyDescent="0.25">
      <c r="A247">
        <v>126657</v>
      </c>
      <c r="B247" t="str">
        <f>"360592674"</f>
        <v>360592674</v>
      </c>
      <c r="C247" t="s">
        <v>16</v>
      </c>
      <c r="D247" t="s">
        <v>973</v>
      </c>
      <c r="E247" t="s">
        <v>18</v>
      </c>
      <c r="F247" t="s">
        <v>974</v>
      </c>
      <c r="G247" t="s">
        <v>975</v>
      </c>
      <c r="H247" t="s">
        <v>975</v>
      </c>
      <c r="I247" t="s">
        <v>30</v>
      </c>
      <c r="J247" t="s">
        <v>976</v>
      </c>
      <c r="K247" t="str">
        <f>"9"</f>
        <v>9</v>
      </c>
      <c r="L247" t="str">
        <f>""</f>
        <v/>
      </c>
      <c r="M247" t="str">
        <f>"07-100"</f>
        <v>07-100</v>
      </c>
      <c r="N247" t="str">
        <f>"608464229"</f>
        <v>608464229</v>
      </c>
      <c r="O247" t="s">
        <v>977</v>
      </c>
      <c r="P247" t="s">
        <v>24</v>
      </c>
    </row>
    <row r="248" spans="1:16" hidden="1" x14ac:dyDescent="0.25">
      <c r="A248">
        <v>125080</v>
      </c>
      <c r="B248" t="str">
        <f>"147424996"</f>
        <v>147424996</v>
      </c>
      <c r="C248" t="s">
        <v>16</v>
      </c>
      <c r="D248" t="s">
        <v>978</v>
      </c>
      <c r="E248" t="s">
        <v>18</v>
      </c>
      <c r="F248" t="s">
        <v>134</v>
      </c>
      <c r="G248" t="s">
        <v>134</v>
      </c>
      <c r="H248" t="s">
        <v>134</v>
      </c>
      <c r="I248" t="s">
        <v>30</v>
      </c>
      <c r="J248" t="s">
        <v>979</v>
      </c>
      <c r="K248" t="str">
        <f>"14"</f>
        <v>14</v>
      </c>
      <c r="L248" t="str">
        <f>""</f>
        <v/>
      </c>
      <c r="M248" t="str">
        <f>"09-410"</f>
        <v>09-410</v>
      </c>
      <c r="N248" t="str">
        <f>"533524581"</f>
        <v>533524581</v>
      </c>
      <c r="O248" t="s">
        <v>980</v>
      </c>
      <c r="P248" t="s">
        <v>24</v>
      </c>
    </row>
    <row r="249" spans="1:16" hidden="1" x14ac:dyDescent="0.25">
      <c r="A249">
        <v>478005</v>
      </c>
      <c r="B249" t="str">
        <f>"522013518"</f>
        <v>522013518</v>
      </c>
      <c r="C249" t="s">
        <v>16</v>
      </c>
      <c r="D249" t="s">
        <v>981</v>
      </c>
      <c r="E249" t="s">
        <v>18</v>
      </c>
      <c r="F249" t="s">
        <v>19</v>
      </c>
      <c r="G249" t="s">
        <v>89</v>
      </c>
      <c r="H249" t="s">
        <v>89</v>
      </c>
      <c r="I249" t="s">
        <v>21</v>
      </c>
      <c r="J249" t="s">
        <v>982</v>
      </c>
      <c r="K249" t="str">
        <f>"10"</f>
        <v>10</v>
      </c>
      <c r="L249" t="str">
        <f>"1"</f>
        <v>1</v>
      </c>
      <c r="M249" t="str">
        <f>"02-495"</f>
        <v>02-495</v>
      </c>
      <c r="N249" t="str">
        <f>"575550548"</f>
        <v>575550548</v>
      </c>
      <c r="O249" t="s">
        <v>983</v>
      </c>
      <c r="P249" t="s">
        <v>24</v>
      </c>
    </row>
    <row r="250" spans="1:16" hidden="1" x14ac:dyDescent="0.25">
      <c r="A250">
        <v>278555</v>
      </c>
      <c r="B250" t="str">
        <f>"389969544"</f>
        <v>389969544</v>
      </c>
      <c r="C250" t="s">
        <v>16</v>
      </c>
      <c r="D250" t="s">
        <v>984</v>
      </c>
      <c r="E250" t="s">
        <v>64</v>
      </c>
      <c r="F250" t="s">
        <v>841</v>
      </c>
      <c r="G250" t="s">
        <v>985</v>
      </c>
      <c r="H250" t="s">
        <v>985</v>
      </c>
      <c r="I250" t="s">
        <v>30</v>
      </c>
      <c r="J250" t="s">
        <v>986</v>
      </c>
      <c r="K250" t="str">
        <f>"89E"</f>
        <v>89E</v>
      </c>
      <c r="L250" t="str">
        <f>""</f>
        <v/>
      </c>
      <c r="M250" t="str">
        <f>"58-160"</f>
        <v>58-160</v>
      </c>
      <c r="N250" t="str">
        <f>"602189832"</f>
        <v>602189832</v>
      </c>
      <c r="O250" t="s">
        <v>987</v>
      </c>
      <c r="P250" t="s">
        <v>24</v>
      </c>
    </row>
    <row r="251" spans="1:16" hidden="1" x14ac:dyDescent="0.25">
      <c r="A251">
        <v>54429</v>
      </c>
      <c r="B251" t="str">
        <f>"146369835"</f>
        <v>146369835</v>
      </c>
      <c r="C251" t="s">
        <v>16</v>
      </c>
      <c r="D251" t="s">
        <v>989</v>
      </c>
      <c r="E251" t="s">
        <v>18</v>
      </c>
      <c r="F251" t="s">
        <v>990</v>
      </c>
      <c r="G251" t="s">
        <v>991</v>
      </c>
      <c r="H251" t="s">
        <v>991</v>
      </c>
      <c r="I251" t="s">
        <v>68</v>
      </c>
      <c r="K251" t="str">
        <f>"59"</f>
        <v>59</v>
      </c>
      <c r="L251" t="str">
        <f>""</f>
        <v/>
      </c>
      <c r="M251" t="str">
        <f>"09-142"</f>
        <v>09-142</v>
      </c>
      <c r="N251" t="str">
        <f>"602526525"</f>
        <v>602526525</v>
      </c>
      <c r="O251" t="s">
        <v>992</v>
      </c>
      <c r="P251" t="s">
        <v>24</v>
      </c>
    </row>
    <row r="252" spans="1:16" hidden="1" x14ac:dyDescent="0.25">
      <c r="A252">
        <v>124324</v>
      </c>
      <c r="B252" t="str">
        <f>"222148334"</f>
        <v>222148334</v>
      </c>
      <c r="C252" t="s">
        <v>16</v>
      </c>
      <c r="D252" t="s">
        <v>993</v>
      </c>
      <c r="E252" t="s">
        <v>80</v>
      </c>
      <c r="F252" t="s">
        <v>145</v>
      </c>
      <c r="G252" t="s">
        <v>395</v>
      </c>
      <c r="H252" t="s">
        <v>395</v>
      </c>
      <c r="I252" t="s">
        <v>30</v>
      </c>
      <c r="J252" t="s">
        <v>994</v>
      </c>
      <c r="K252" t="str">
        <f>"16"</f>
        <v>16</v>
      </c>
      <c r="L252" t="str">
        <f>""</f>
        <v/>
      </c>
      <c r="M252" t="str">
        <f>"84-230"</f>
        <v>84-230</v>
      </c>
      <c r="N252" t="str">
        <f>"587362075"</f>
        <v>587362075</v>
      </c>
      <c r="O252" t="s">
        <v>995</v>
      </c>
      <c r="P252" t="s">
        <v>24</v>
      </c>
    </row>
    <row r="253" spans="1:16" hidden="1" x14ac:dyDescent="0.25">
      <c r="A253">
        <v>276829</v>
      </c>
      <c r="B253" t="str">
        <f>"387668070"</f>
        <v>387668070</v>
      </c>
      <c r="C253" t="s">
        <v>16</v>
      </c>
      <c r="D253" t="s">
        <v>996</v>
      </c>
      <c r="E253" t="s">
        <v>18</v>
      </c>
      <c r="F253" t="s">
        <v>997</v>
      </c>
      <c r="G253" t="s">
        <v>998</v>
      </c>
      <c r="H253" t="s">
        <v>998</v>
      </c>
      <c r="I253" t="s">
        <v>30</v>
      </c>
      <c r="J253" t="s">
        <v>999</v>
      </c>
      <c r="K253" t="str">
        <f>"11"</f>
        <v>11</v>
      </c>
      <c r="L253" t="str">
        <f>"A"</f>
        <v>A</v>
      </c>
      <c r="M253" t="str">
        <f>"08-200"</f>
        <v>08-200</v>
      </c>
      <c r="N253" t="str">
        <f>"577001744"</f>
        <v>577001744</v>
      </c>
      <c r="O253" t="s">
        <v>1000</v>
      </c>
      <c r="P253" t="s">
        <v>24</v>
      </c>
    </row>
    <row r="254" spans="1:16" hidden="1" x14ac:dyDescent="0.25">
      <c r="A254">
        <v>111076</v>
      </c>
      <c r="B254" t="str">
        <f>"146568687"</f>
        <v>146568687</v>
      </c>
      <c r="C254" t="s">
        <v>16</v>
      </c>
      <c r="D254" t="s">
        <v>1001</v>
      </c>
      <c r="E254" t="s">
        <v>18</v>
      </c>
      <c r="F254" t="s">
        <v>19</v>
      </c>
      <c r="G254" t="s">
        <v>149</v>
      </c>
      <c r="H254" t="s">
        <v>149</v>
      </c>
      <c r="I254" t="s">
        <v>21</v>
      </c>
      <c r="J254" t="s">
        <v>1002</v>
      </c>
      <c r="K254" t="str">
        <f>"6"</f>
        <v>6</v>
      </c>
      <c r="L254" t="str">
        <f>""</f>
        <v/>
      </c>
      <c r="M254" t="str">
        <f>"03-109"</f>
        <v>03-109</v>
      </c>
      <c r="N254" t="str">
        <f>"226144692"</f>
        <v>226144692</v>
      </c>
      <c r="O254" t="s">
        <v>1003</v>
      </c>
      <c r="P254" t="s">
        <v>24</v>
      </c>
    </row>
    <row r="255" spans="1:16" hidden="1" x14ac:dyDescent="0.25">
      <c r="A255">
        <v>126192</v>
      </c>
      <c r="B255" t="str">
        <f>"360170312"</f>
        <v>360170312</v>
      </c>
      <c r="C255" t="s">
        <v>16</v>
      </c>
      <c r="D255" t="s">
        <v>1004</v>
      </c>
      <c r="E255" t="s">
        <v>18</v>
      </c>
      <c r="F255" t="s">
        <v>19</v>
      </c>
      <c r="G255" t="s">
        <v>93</v>
      </c>
      <c r="H255" t="s">
        <v>93</v>
      </c>
      <c r="I255" t="s">
        <v>21</v>
      </c>
      <c r="J255" t="s">
        <v>1005</v>
      </c>
      <c r="K255" t="str">
        <f>"14"</f>
        <v>14</v>
      </c>
      <c r="L255" t="str">
        <f>""</f>
        <v/>
      </c>
      <c r="M255" t="str">
        <f>"01-819"</f>
        <v>01-819</v>
      </c>
      <c r="N255" t="str">
        <f>"606253600"</f>
        <v>606253600</v>
      </c>
      <c r="O255" t="s">
        <v>1006</v>
      </c>
      <c r="P255" t="s">
        <v>24</v>
      </c>
    </row>
    <row r="256" spans="1:16" hidden="1" x14ac:dyDescent="0.25">
      <c r="A256">
        <v>276315</v>
      </c>
      <c r="B256" t="str">
        <f>"387085746"</f>
        <v>387085746</v>
      </c>
      <c r="C256" t="s">
        <v>16</v>
      </c>
      <c r="D256" t="s">
        <v>1007</v>
      </c>
      <c r="E256" t="s">
        <v>101</v>
      </c>
      <c r="F256" t="s">
        <v>102</v>
      </c>
      <c r="G256" t="s">
        <v>102</v>
      </c>
      <c r="H256" t="s">
        <v>102</v>
      </c>
      <c r="I256" t="s">
        <v>30</v>
      </c>
      <c r="J256" t="s">
        <v>1008</v>
      </c>
      <c r="K256" t="str">
        <f>"2"</f>
        <v>2</v>
      </c>
      <c r="L256" t="str">
        <f>""</f>
        <v/>
      </c>
      <c r="M256" t="str">
        <f>"35-620"</f>
        <v>35-620</v>
      </c>
      <c r="N256" t="str">
        <f>"660325940"</f>
        <v>660325940</v>
      </c>
      <c r="P256" t="s">
        <v>24</v>
      </c>
    </row>
    <row r="257" spans="1:16" hidden="1" x14ac:dyDescent="0.25">
      <c r="A257">
        <v>267686</v>
      </c>
      <c r="B257" t="str">
        <f>"360000320"</f>
        <v>360000320</v>
      </c>
      <c r="C257" t="s">
        <v>16</v>
      </c>
      <c r="D257" t="s">
        <v>1009</v>
      </c>
      <c r="E257" t="s">
        <v>157</v>
      </c>
      <c r="F257" t="s">
        <v>158</v>
      </c>
      <c r="G257" t="s">
        <v>787</v>
      </c>
      <c r="H257" t="s">
        <v>787</v>
      </c>
      <c r="I257" t="s">
        <v>42</v>
      </c>
      <c r="J257" t="s">
        <v>1010</v>
      </c>
      <c r="K257" t="str">
        <f>"15"</f>
        <v>15</v>
      </c>
      <c r="L257" t="str">
        <f>""</f>
        <v/>
      </c>
      <c r="M257" t="str">
        <f>"60-125"</f>
        <v>60-125</v>
      </c>
      <c r="N257" t="str">
        <f>"612220004"</f>
        <v>612220004</v>
      </c>
      <c r="O257" t="s">
        <v>1011</v>
      </c>
      <c r="P257" t="s">
        <v>24</v>
      </c>
    </row>
    <row r="258" spans="1:16" hidden="1" x14ac:dyDescent="0.25">
      <c r="A258">
        <v>127311</v>
      </c>
      <c r="B258" t="str">
        <f>"361335494"</f>
        <v>361335494</v>
      </c>
      <c r="C258" t="s">
        <v>16</v>
      </c>
      <c r="D258" t="s">
        <v>1012</v>
      </c>
      <c r="E258" t="s">
        <v>389</v>
      </c>
      <c r="F258" t="s">
        <v>447</v>
      </c>
      <c r="G258" t="s">
        <v>447</v>
      </c>
      <c r="H258" t="s">
        <v>447</v>
      </c>
      <c r="I258" t="s">
        <v>30</v>
      </c>
      <c r="J258" t="s">
        <v>1013</v>
      </c>
      <c r="K258" t="str">
        <f>"16"</f>
        <v>16</v>
      </c>
      <c r="L258" t="str">
        <f>"30"</f>
        <v>30</v>
      </c>
      <c r="M258" t="str">
        <f>"10-106"</f>
        <v>10-106</v>
      </c>
      <c r="N258" t="str">
        <f>"530744862"</f>
        <v>530744862</v>
      </c>
      <c r="O258" t="s">
        <v>1014</v>
      </c>
      <c r="P258" t="s">
        <v>24</v>
      </c>
    </row>
    <row r="259" spans="1:16" hidden="1" x14ac:dyDescent="0.25">
      <c r="A259">
        <v>479654</v>
      </c>
      <c r="B259" t="str">
        <f>"524013511"</f>
        <v>524013511</v>
      </c>
      <c r="C259" t="s">
        <v>16</v>
      </c>
      <c r="D259" t="s">
        <v>1015</v>
      </c>
      <c r="E259" t="s">
        <v>157</v>
      </c>
      <c r="F259" t="s">
        <v>162</v>
      </c>
      <c r="G259" t="s">
        <v>1016</v>
      </c>
      <c r="H259" t="s">
        <v>1017</v>
      </c>
      <c r="I259" t="s">
        <v>68</v>
      </c>
      <c r="J259" t="s">
        <v>1018</v>
      </c>
      <c r="K259" t="str">
        <f>"89"</f>
        <v>89</v>
      </c>
      <c r="L259" t="str">
        <f>""</f>
        <v/>
      </c>
      <c r="M259" t="str">
        <f>"62-051"</f>
        <v>62-051</v>
      </c>
      <c r="N259" t="str">
        <f>""</f>
        <v/>
      </c>
      <c r="O259" t="s">
        <v>1019</v>
      </c>
      <c r="P259" t="s">
        <v>24</v>
      </c>
    </row>
    <row r="260" spans="1:16" hidden="1" x14ac:dyDescent="0.25">
      <c r="A260">
        <v>479364</v>
      </c>
      <c r="B260" t="str">
        <f>"523349485"</f>
        <v>523349485</v>
      </c>
      <c r="C260" t="s">
        <v>16</v>
      </c>
      <c r="D260" t="s">
        <v>1021</v>
      </c>
      <c r="E260" t="s">
        <v>74</v>
      </c>
      <c r="F260" t="s">
        <v>1022</v>
      </c>
      <c r="G260" t="s">
        <v>1023</v>
      </c>
      <c r="H260" t="s">
        <v>1023</v>
      </c>
      <c r="I260" t="s">
        <v>30</v>
      </c>
      <c r="J260" t="s">
        <v>1024</v>
      </c>
      <c r="K260" t="str">
        <f>"106A"</f>
        <v>106A</v>
      </c>
      <c r="L260" t="str">
        <f>""</f>
        <v/>
      </c>
      <c r="M260" t="str">
        <f>"28-100"</f>
        <v>28-100</v>
      </c>
      <c r="N260" t="str">
        <f>"602670417"</f>
        <v>602670417</v>
      </c>
      <c r="O260" t="s">
        <v>1025</v>
      </c>
      <c r="P260" t="s">
        <v>24</v>
      </c>
    </row>
    <row r="261" spans="1:16" hidden="1" x14ac:dyDescent="0.25">
      <c r="A261">
        <v>130787</v>
      </c>
      <c r="B261" t="str">
        <f>"364522660"</f>
        <v>364522660</v>
      </c>
      <c r="C261" t="s">
        <v>16</v>
      </c>
      <c r="D261" t="s">
        <v>1026</v>
      </c>
      <c r="E261" t="s">
        <v>117</v>
      </c>
      <c r="F261" t="s">
        <v>168</v>
      </c>
      <c r="G261" t="s">
        <v>168</v>
      </c>
      <c r="H261" t="s">
        <v>168</v>
      </c>
      <c r="I261" t="s">
        <v>30</v>
      </c>
      <c r="J261" t="s">
        <v>1027</v>
      </c>
      <c r="K261" t="str">
        <f>"26"</f>
        <v>26</v>
      </c>
      <c r="L261" t="str">
        <f>"28"</f>
        <v>28</v>
      </c>
      <c r="M261" t="str">
        <f>"43-300"</f>
        <v>43-300</v>
      </c>
      <c r="N261" t="str">
        <f>"537083572"</f>
        <v>537083572</v>
      </c>
      <c r="O261" t="s">
        <v>1028</v>
      </c>
      <c r="P261" t="s">
        <v>24</v>
      </c>
    </row>
    <row r="262" spans="1:16" hidden="1" x14ac:dyDescent="0.25">
      <c r="A262">
        <v>478960</v>
      </c>
      <c r="B262" t="str">
        <f>"523105441"</f>
        <v>523105441</v>
      </c>
      <c r="C262" t="s">
        <v>16</v>
      </c>
      <c r="D262" t="s">
        <v>1029</v>
      </c>
      <c r="E262" t="s">
        <v>80</v>
      </c>
      <c r="F262" t="s">
        <v>339</v>
      </c>
      <c r="G262" t="s">
        <v>339</v>
      </c>
      <c r="H262" t="s">
        <v>339</v>
      </c>
      <c r="I262" t="s">
        <v>30</v>
      </c>
      <c r="J262" t="s">
        <v>1030</v>
      </c>
      <c r="K262" t="str">
        <f>"6a"</f>
        <v>6a</v>
      </c>
      <c r="L262" t="str">
        <f>"4"</f>
        <v>4</v>
      </c>
      <c r="M262" t="str">
        <f>"80-180"</f>
        <v>80-180</v>
      </c>
      <c r="N262" t="str">
        <f>"505063889"</f>
        <v>505063889</v>
      </c>
      <c r="O262" t="s">
        <v>1031</v>
      </c>
      <c r="P262" t="s">
        <v>24</v>
      </c>
    </row>
    <row r="263" spans="1:16" hidden="1" x14ac:dyDescent="0.25">
      <c r="A263">
        <v>264524</v>
      </c>
      <c r="B263" t="str">
        <f>"368372009"</f>
        <v>368372009</v>
      </c>
      <c r="C263" t="s">
        <v>16</v>
      </c>
      <c r="D263" t="s">
        <v>1032</v>
      </c>
      <c r="E263" t="s">
        <v>101</v>
      </c>
      <c r="F263" t="s">
        <v>102</v>
      </c>
      <c r="G263" t="s">
        <v>102</v>
      </c>
      <c r="H263" t="s">
        <v>102</v>
      </c>
      <c r="I263" t="s">
        <v>30</v>
      </c>
      <c r="J263" t="s">
        <v>1033</v>
      </c>
      <c r="K263" t="str">
        <f>"19B"</f>
        <v>19B</v>
      </c>
      <c r="L263" t="str">
        <f>""</f>
        <v/>
      </c>
      <c r="M263" t="str">
        <f>"35-312"</f>
        <v>35-312</v>
      </c>
      <c r="N263" t="str">
        <f>"690078088"</f>
        <v>690078088</v>
      </c>
      <c r="P263" t="s">
        <v>24</v>
      </c>
    </row>
    <row r="264" spans="1:16" hidden="1" x14ac:dyDescent="0.25">
      <c r="A264">
        <v>132031</v>
      </c>
      <c r="B264" t="str">
        <f>"365434170"</f>
        <v>365434170</v>
      </c>
      <c r="C264" t="s">
        <v>16</v>
      </c>
      <c r="D264" t="s">
        <v>1034</v>
      </c>
      <c r="E264" t="s">
        <v>117</v>
      </c>
      <c r="F264" t="s">
        <v>872</v>
      </c>
      <c r="G264" t="s">
        <v>1035</v>
      </c>
      <c r="H264" t="s">
        <v>1035</v>
      </c>
      <c r="I264" t="s">
        <v>30</v>
      </c>
      <c r="J264" t="s">
        <v>1036</v>
      </c>
      <c r="K264" t="str">
        <f>"172"</f>
        <v>172</v>
      </c>
      <c r="L264" t="str">
        <f>""</f>
        <v/>
      </c>
      <c r="M264" t="str">
        <f>"43-180"</f>
        <v>43-180</v>
      </c>
      <c r="N264" t="str">
        <f>"783775180"</f>
        <v>783775180</v>
      </c>
      <c r="O264" t="s">
        <v>1037</v>
      </c>
      <c r="P264" t="s">
        <v>24</v>
      </c>
    </row>
    <row r="265" spans="1:16" hidden="1" x14ac:dyDescent="0.25">
      <c r="A265">
        <v>264489</v>
      </c>
      <c r="B265" t="str">
        <f>"368363358"</f>
        <v>368363358</v>
      </c>
      <c r="C265" t="s">
        <v>16</v>
      </c>
      <c r="D265" t="s">
        <v>1038</v>
      </c>
      <c r="E265" t="s">
        <v>18</v>
      </c>
      <c r="F265" t="s">
        <v>846</v>
      </c>
      <c r="G265" t="s">
        <v>925</v>
      </c>
      <c r="H265" t="s">
        <v>925</v>
      </c>
      <c r="I265" t="s">
        <v>30</v>
      </c>
      <c r="J265" t="s">
        <v>238</v>
      </c>
      <c r="K265" t="str">
        <f>"33"</f>
        <v>33</v>
      </c>
      <c r="L265" t="str">
        <f>"2"</f>
        <v>2</v>
      </c>
      <c r="M265" t="str">
        <f>"05-825"</f>
        <v>05-825</v>
      </c>
      <c r="N265" t="str">
        <f>"530601970"</f>
        <v>530601970</v>
      </c>
      <c r="O265" t="s">
        <v>1039</v>
      </c>
      <c r="P265" t="s">
        <v>24</v>
      </c>
    </row>
    <row r="266" spans="1:16" hidden="1" x14ac:dyDescent="0.25">
      <c r="A266">
        <v>92039</v>
      </c>
      <c r="B266" t="str">
        <f>"061500347"</f>
        <v>061500347</v>
      </c>
      <c r="C266" t="s">
        <v>16</v>
      </c>
      <c r="D266" t="s">
        <v>1040</v>
      </c>
      <c r="E266" t="s">
        <v>112</v>
      </c>
      <c r="F266" t="s">
        <v>113</v>
      </c>
      <c r="G266" t="s">
        <v>113</v>
      </c>
      <c r="H266" t="s">
        <v>113</v>
      </c>
      <c r="I266" t="s">
        <v>30</v>
      </c>
      <c r="J266" t="s">
        <v>1041</v>
      </c>
      <c r="K266" t="str">
        <f>"17"</f>
        <v>17</v>
      </c>
      <c r="L266" t="str">
        <f>""</f>
        <v/>
      </c>
      <c r="M266" t="str">
        <f>"20-783"</f>
        <v>20-783</v>
      </c>
      <c r="N266" t="str">
        <f>"815321155"</f>
        <v>815321155</v>
      </c>
      <c r="O266" t="s">
        <v>1042</v>
      </c>
      <c r="P266" t="s">
        <v>24</v>
      </c>
    </row>
    <row r="267" spans="1:16" hidden="1" x14ac:dyDescent="0.25">
      <c r="A267">
        <v>123205</v>
      </c>
      <c r="B267" t="str">
        <f>"061693843"</f>
        <v>061693843</v>
      </c>
      <c r="C267" t="s">
        <v>16</v>
      </c>
      <c r="D267" t="s">
        <v>1043</v>
      </c>
      <c r="E267" t="s">
        <v>112</v>
      </c>
      <c r="F267" t="s">
        <v>113</v>
      </c>
      <c r="G267" t="s">
        <v>113</v>
      </c>
      <c r="H267" t="s">
        <v>113</v>
      </c>
      <c r="I267" t="s">
        <v>30</v>
      </c>
      <c r="J267" t="s">
        <v>1044</v>
      </c>
      <c r="K267" t="str">
        <f>"23"</f>
        <v>23</v>
      </c>
      <c r="L267" t="str">
        <f>"80"</f>
        <v>80</v>
      </c>
      <c r="M267" t="str">
        <f>"20-539"</f>
        <v>20-539</v>
      </c>
      <c r="N267" t="str">
        <f>"503570913"</f>
        <v>503570913</v>
      </c>
      <c r="O267" t="s">
        <v>1045</v>
      </c>
      <c r="P267" t="s">
        <v>24</v>
      </c>
    </row>
    <row r="268" spans="1:16" hidden="1" x14ac:dyDescent="0.25">
      <c r="A268">
        <v>132607</v>
      </c>
      <c r="B268" t="str">
        <f>"365896054"</f>
        <v>365896054</v>
      </c>
      <c r="C268" t="s">
        <v>16</v>
      </c>
      <c r="D268" t="s">
        <v>1046</v>
      </c>
      <c r="E268" t="s">
        <v>18</v>
      </c>
      <c r="F268" t="s">
        <v>19</v>
      </c>
      <c r="G268" t="s">
        <v>886</v>
      </c>
      <c r="H268" t="s">
        <v>886</v>
      </c>
      <c r="I268" t="s">
        <v>21</v>
      </c>
      <c r="J268" t="s">
        <v>1047</v>
      </c>
      <c r="K268" t="str">
        <f>"1"</f>
        <v>1</v>
      </c>
      <c r="L268" t="str">
        <f>"12"</f>
        <v>12</v>
      </c>
      <c r="M268" t="str">
        <f>"00-784"</f>
        <v>00-784</v>
      </c>
      <c r="N268" t="str">
        <f>"531740007"</f>
        <v>531740007</v>
      </c>
      <c r="P268" t="s">
        <v>24</v>
      </c>
    </row>
    <row r="269" spans="1:16" hidden="1" x14ac:dyDescent="0.25">
      <c r="A269">
        <v>119385</v>
      </c>
      <c r="B269" t="str">
        <f>"321420920"</f>
        <v>321420920</v>
      </c>
      <c r="C269" t="s">
        <v>16</v>
      </c>
      <c r="D269" t="s">
        <v>1046</v>
      </c>
      <c r="E269" t="s">
        <v>34</v>
      </c>
      <c r="F269" t="s">
        <v>529</v>
      </c>
      <c r="G269" t="s">
        <v>530</v>
      </c>
      <c r="H269" t="s">
        <v>530</v>
      </c>
      <c r="I269" t="s">
        <v>30</v>
      </c>
      <c r="J269" t="s">
        <v>1048</v>
      </c>
      <c r="K269" t="str">
        <f>"31-35"</f>
        <v>31-35</v>
      </c>
      <c r="L269" t="str">
        <f>"406"</f>
        <v>406</v>
      </c>
      <c r="M269" t="str">
        <f>"78-400"</f>
        <v>78-400</v>
      </c>
      <c r="N269" t="str">
        <f>"943070124"</f>
        <v>943070124</v>
      </c>
      <c r="O269" t="s">
        <v>528</v>
      </c>
      <c r="P269" t="s">
        <v>24</v>
      </c>
    </row>
    <row r="270" spans="1:16" hidden="1" x14ac:dyDescent="0.25">
      <c r="A270">
        <v>131515</v>
      </c>
      <c r="B270" t="str">
        <f>"365207310"</f>
        <v>365207310</v>
      </c>
      <c r="C270" t="s">
        <v>16</v>
      </c>
      <c r="D270" t="s">
        <v>1046</v>
      </c>
      <c r="E270" t="s">
        <v>34</v>
      </c>
      <c r="F270" t="s">
        <v>1049</v>
      </c>
      <c r="G270" t="s">
        <v>1050</v>
      </c>
      <c r="H270" t="s">
        <v>1050</v>
      </c>
      <c r="I270" t="s">
        <v>30</v>
      </c>
      <c r="J270" t="s">
        <v>1051</v>
      </c>
      <c r="K270" t="str">
        <f>"1"</f>
        <v>1</v>
      </c>
      <c r="L270" t="str">
        <f>"3a"</f>
        <v>3a</v>
      </c>
      <c r="M270" t="str">
        <f>"76-150"</f>
        <v>76-150</v>
      </c>
      <c r="N270" t="str">
        <f>"0943070124"</f>
        <v>0943070124</v>
      </c>
      <c r="O270" t="s">
        <v>528</v>
      </c>
      <c r="P270" t="s">
        <v>24</v>
      </c>
    </row>
    <row r="271" spans="1:16" hidden="1" x14ac:dyDescent="0.25">
      <c r="A271">
        <v>119857</v>
      </c>
      <c r="B271" t="str">
        <f>"321424875"</f>
        <v>321424875</v>
      </c>
      <c r="C271" t="s">
        <v>16</v>
      </c>
      <c r="D271" t="s">
        <v>1046</v>
      </c>
      <c r="E271" t="s">
        <v>34</v>
      </c>
      <c r="F271" t="s">
        <v>1052</v>
      </c>
      <c r="G271" t="s">
        <v>1053</v>
      </c>
      <c r="H271" t="s">
        <v>1053</v>
      </c>
      <c r="I271" t="s">
        <v>30</v>
      </c>
      <c r="J271" t="s">
        <v>579</v>
      </c>
      <c r="K271" t="str">
        <f>"65"</f>
        <v>65</v>
      </c>
      <c r="L271" t="str">
        <f>""</f>
        <v/>
      </c>
      <c r="M271" t="str">
        <f>"78-550"</f>
        <v>78-550</v>
      </c>
      <c r="N271" t="str">
        <f>"943070124"</f>
        <v>943070124</v>
      </c>
      <c r="P271" t="s">
        <v>24</v>
      </c>
    </row>
    <row r="272" spans="1:16" hidden="1" x14ac:dyDescent="0.25">
      <c r="A272">
        <v>132314</v>
      </c>
      <c r="B272" t="str">
        <f>"365544467"</f>
        <v>365544467</v>
      </c>
      <c r="C272" t="s">
        <v>16</v>
      </c>
      <c r="D272" t="s">
        <v>1046</v>
      </c>
      <c r="E272" t="s">
        <v>34</v>
      </c>
      <c r="F272" t="s">
        <v>421</v>
      </c>
      <c r="G272" t="s">
        <v>421</v>
      </c>
      <c r="H272" t="s">
        <v>421</v>
      </c>
      <c r="I272" t="s">
        <v>30</v>
      </c>
      <c r="J272" t="s">
        <v>628</v>
      </c>
      <c r="K272" t="str">
        <f>"24"</f>
        <v>24</v>
      </c>
      <c r="L272" t="str">
        <f>"26"</f>
        <v>26</v>
      </c>
      <c r="M272" t="str">
        <f>"75-712"</f>
        <v>75-712</v>
      </c>
      <c r="N272" t="str">
        <f>"943070124"</f>
        <v>943070124</v>
      </c>
      <c r="P272" t="s">
        <v>24</v>
      </c>
    </row>
    <row r="273" spans="1:16" hidden="1" x14ac:dyDescent="0.25">
      <c r="A273">
        <v>124741</v>
      </c>
      <c r="B273" t="str">
        <f>"302816759"</f>
        <v>302816759</v>
      </c>
      <c r="C273" t="s">
        <v>16</v>
      </c>
      <c r="D273" t="s">
        <v>1046</v>
      </c>
      <c r="E273" t="s">
        <v>157</v>
      </c>
      <c r="F273" t="s">
        <v>158</v>
      </c>
      <c r="G273" t="s">
        <v>928</v>
      </c>
      <c r="H273" t="s">
        <v>928</v>
      </c>
      <c r="I273" t="s">
        <v>42</v>
      </c>
      <c r="J273" t="s">
        <v>1054</v>
      </c>
      <c r="K273" t="str">
        <f>"12a"</f>
        <v>12a</v>
      </c>
      <c r="L273" t="str">
        <f>""</f>
        <v/>
      </c>
      <c r="M273" t="str">
        <f>"61-841"</f>
        <v>61-841</v>
      </c>
      <c r="N273" t="str">
        <f>"503395265"</f>
        <v>503395265</v>
      </c>
      <c r="P273" t="s">
        <v>24</v>
      </c>
    </row>
    <row r="274" spans="1:16" hidden="1" x14ac:dyDescent="0.25">
      <c r="A274">
        <v>129296</v>
      </c>
      <c r="B274" t="str">
        <f>"362561761"</f>
        <v>362561761</v>
      </c>
      <c r="C274" t="s">
        <v>16</v>
      </c>
      <c r="D274" t="s">
        <v>1055</v>
      </c>
      <c r="E274" t="s">
        <v>97</v>
      </c>
      <c r="F274" t="s">
        <v>98</v>
      </c>
      <c r="G274" t="s">
        <v>98</v>
      </c>
      <c r="H274" t="s">
        <v>98</v>
      </c>
      <c r="I274" t="s">
        <v>30</v>
      </c>
      <c r="J274" t="s">
        <v>1056</v>
      </c>
      <c r="K274" t="str">
        <f>"3"</f>
        <v>3</v>
      </c>
      <c r="L274" t="str">
        <f>""</f>
        <v/>
      </c>
      <c r="M274" t="str">
        <f>"15-879"</f>
        <v>15-879</v>
      </c>
      <c r="N274" t="str">
        <f>"531740007"</f>
        <v>531740007</v>
      </c>
      <c r="O274" t="s">
        <v>528</v>
      </c>
      <c r="P274" t="s">
        <v>24</v>
      </c>
    </row>
    <row r="275" spans="1:16" hidden="1" x14ac:dyDescent="0.25">
      <c r="A275">
        <v>273104</v>
      </c>
      <c r="B275" t="str">
        <f>"384377543"</f>
        <v>384377543</v>
      </c>
      <c r="C275" t="s">
        <v>16</v>
      </c>
      <c r="D275" t="s">
        <v>1057</v>
      </c>
      <c r="E275" t="s">
        <v>18</v>
      </c>
      <c r="F275" t="s">
        <v>650</v>
      </c>
      <c r="G275" t="s">
        <v>1058</v>
      </c>
      <c r="H275" t="s">
        <v>1058</v>
      </c>
      <c r="I275" t="s">
        <v>30</v>
      </c>
      <c r="J275" t="s">
        <v>1059</v>
      </c>
      <c r="K275" t="str">
        <f>"10"</f>
        <v>10</v>
      </c>
      <c r="L275" t="str">
        <f>""</f>
        <v/>
      </c>
      <c r="M275" t="str">
        <f>"05-410"</f>
        <v>05-410</v>
      </c>
      <c r="N275" t="str">
        <f>"733383883"</f>
        <v>733383883</v>
      </c>
      <c r="O275" t="s">
        <v>1060</v>
      </c>
      <c r="P275" t="s">
        <v>24</v>
      </c>
    </row>
    <row r="276" spans="1:16" hidden="1" x14ac:dyDescent="0.25">
      <c r="A276">
        <v>278779</v>
      </c>
      <c r="B276" t="str">
        <f>"520066580"</f>
        <v>520066580</v>
      </c>
      <c r="C276" t="s">
        <v>16</v>
      </c>
      <c r="D276" t="s">
        <v>1061</v>
      </c>
      <c r="E276" t="s">
        <v>18</v>
      </c>
      <c r="F276" t="s">
        <v>134</v>
      </c>
      <c r="G276" t="s">
        <v>134</v>
      </c>
      <c r="H276" t="s">
        <v>134</v>
      </c>
      <c r="I276" t="s">
        <v>30</v>
      </c>
      <c r="J276" t="s">
        <v>889</v>
      </c>
      <c r="K276" t="str">
        <f>"18a"</f>
        <v>18a</v>
      </c>
      <c r="L276" t="str">
        <f>"4"</f>
        <v>4</v>
      </c>
      <c r="M276" t="str">
        <f>"09-402"</f>
        <v>09-402</v>
      </c>
      <c r="N276" t="str">
        <f>"506029290"</f>
        <v>506029290</v>
      </c>
      <c r="O276" t="s">
        <v>1062</v>
      </c>
      <c r="P276" t="s">
        <v>24</v>
      </c>
    </row>
    <row r="277" spans="1:16" hidden="1" x14ac:dyDescent="0.25">
      <c r="A277">
        <v>267397</v>
      </c>
      <c r="B277" t="str">
        <f>"380266456"</f>
        <v>380266456</v>
      </c>
      <c r="C277" t="s">
        <v>16</v>
      </c>
      <c r="D277" t="s">
        <v>1063</v>
      </c>
      <c r="E277" t="s">
        <v>18</v>
      </c>
      <c r="F277" t="s">
        <v>19</v>
      </c>
      <c r="G277" t="s">
        <v>89</v>
      </c>
      <c r="H277" t="s">
        <v>89</v>
      </c>
      <c r="I277" t="s">
        <v>21</v>
      </c>
      <c r="J277" t="s">
        <v>1064</v>
      </c>
      <c r="K277" t="str">
        <f>"16"</f>
        <v>16</v>
      </c>
      <c r="L277" t="str">
        <f>""</f>
        <v/>
      </c>
      <c r="M277" t="str">
        <f>"02-495"</f>
        <v>02-495</v>
      </c>
      <c r="N277" t="str">
        <f>"507890647"</f>
        <v>507890647</v>
      </c>
      <c r="O277" t="s">
        <v>1065</v>
      </c>
      <c r="P277" t="s">
        <v>24</v>
      </c>
    </row>
    <row r="278" spans="1:16" hidden="1" x14ac:dyDescent="0.25">
      <c r="A278">
        <v>125118</v>
      </c>
      <c r="B278" t="str">
        <f>"321573530"</f>
        <v>321573530</v>
      </c>
      <c r="C278" t="s">
        <v>16</v>
      </c>
      <c r="D278" t="s">
        <v>1066</v>
      </c>
      <c r="E278" t="s">
        <v>34</v>
      </c>
      <c r="F278" t="s">
        <v>35</v>
      </c>
      <c r="G278" t="s">
        <v>35</v>
      </c>
      <c r="H278" t="s">
        <v>35</v>
      </c>
      <c r="I278" t="s">
        <v>30</v>
      </c>
      <c r="J278" t="s">
        <v>1067</v>
      </c>
      <c r="K278" t="str">
        <f>"27B"</f>
        <v>27B</v>
      </c>
      <c r="L278" t="str">
        <f>""</f>
        <v/>
      </c>
      <c r="M278" t="str">
        <f>"70-340"</f>
        <v>70-340</v>
      </c>
      <c r="N278" t="str">
        <f>"918314800"</f>
        <v>918314800</v>
      </c>
      <c r="O278" t="s">
        <v>1068</v>
      </c>
      <c r="P278" t="s">
        <v>24</v>
      </c>
    </row>
    <row r="279" spans="1:16" hidden="1" x14ac:dyDescent="0.25">
      <c r="A279">
        <v>273953</v>
      </c>
      <c r="B279" t="str">
        <f>"384911362"</f>
        <v>384911362</v>
      </c>
      <c r="C279" t="s">
        <v>16</v>
      </c>
      <c r="D279" t="s">
        <v>1069</v>
      </c>
      <c r="E279" t="s">
        <v>157</v>
      </c>
      <c r="F279" t="s">
        <v>716</v>
      </c>
      <c r="G279" t="s">
        <v>716</v>
      </c>
      <c r="H279" t="s">
        <v>716</v>
      </c>
      <c r="I279" t="s">
        <v>30</v>
      </c>
      <c r="J279" t="s">
        <v>1070</v>
      </c>
      <c r="K279" t="str">
        <f>"2"</f>
        <v>2</v>
      </c>
      <c r="L279" t="str">
        <f>""</f>
        <v/>
      </c>
      <c r="M279" t="str">
        <f>"62-800"</f>
        <v>62-800</v>
      </c>
      <c r="N279" t="str">
        <f>"627664966"</f>
        <v>627664966</v>
      </c>
      <c r="O279" t="s">
        <v>1071</v>
      </c>
      <c r="P279" t="s">
        <v>24</v>
      </c>
    </row>
    <row r="280" spans="1:16" hidden="1" x14ac:dyDescent="0.25">
      <c r="A280">
        <v>52515</v>
      </c>
      <c r="B280" t="str">
        <f>"146368617"</f>
        <v>146368617</v>
      </c>
      <c r="C280" t="s">
        <v>16</v>
      </c>
      <c r="D280" t="s">
        <v>1073</v>
      </c>
      <c r="E280" t="s">
        <v>18</v>
      </c>
      <c r="F280" t="s">
        <v>19</v>
      </c>
      <c r="G280" t="s">
        <v>149</v>
      </c>
      <c r="H280" t="s">
        <v>149</v>
      </c>
      <c r="I280" t="s">
        <v>21</v>
      </c>
      <c r="J280" t="s">
        <v>1074</v>
      </c>
      <c r="K280" t="str">
        <f>"1a"</f>
        <v>1a</v>
      </c>
      <c r="L280" t="str">
        <f>""</f>
        <v/>
      </c>
      <c r="M280" t="str">
        <f>"03-193"</f>
        <v>03-193</v>
      </c>
      <c r="N280" t="str">
        <f>"511966837"</f>
        <v>511966837</v>
      </c>
      <c r="O280" t="s">
        <v>1075</v>
      </c>
      <c r="P280" t="s">
        <v>24</v>
      </c>
    </row>
    <row r="281" spans="1:16" hidden="1" x14ac:dyDescent="0.25">
      <c r="A281">
        <v>266122</v>
      </c>
      <c r="B281" t="str">
        <f>"369281102"</f>
        <v>369281102</v>
      </c>
      <c r="C281" t="s">
        <v>16</v>
      </c>
      <c r="D281" t="s">
        <v>1076</v>
      </c>
      <c r="E281" t="s">
        <v>389</v>
      </c>
      <c r="F281" t="s">
        <v>526</v>
      </c>
      <c r="G281" t="s">
        <v>526</v>
      </c>
      <c r="H281" t="s">
        <v>526</v>
      </c>
      <c r="I281" t="s">
        <v>30</v>
      </c>
      <c r="J281" t="s">
        <v>392</v>
      </c>
      <c r="K281" t="str">
        <f>"2"</f>
        <v>2</v>
      </c>
      <c r="L281" t="str">
        <f>""</f>
        <v/>
      </c>
      <c r="M281" t="str">
        <f>"82-300"</f>
        <v>82-300</v>
      </c>
      <c r="N281" t="str">
        <f>"552327450"</f>
        <v>552327450</v>
      </c>
      <c r="O281" t="s">
        <v>1077</v>
      </c>
      <c r="P281" t="s">
        <v>24</v>
      </c>
    </row>
    <row r="282" spans="1:16" hidden="1" x14ac:dyDescent="0.25">
      <c r="A282">
        <v>128615</v>
      </c>
      <c r="B282" t="str">
        <f>"362333356"</f>
        <v>362333356</v>
      </c>
      <c r="C282" t="s">
        <v>16</v>
      </c>
      <c r="D282" t="s">
        <v>1078</v>
      </c>
      <c r="E282" t="s">
        <v>18</v>
      </c>
      <c r="F282" t="s">
        <v>1079</v>
      </c>
      <c r="G282" t="s">
        <v>1080</v>
      </c>
      <c r="H282" t="s">
        <v>1080</v>
      </c>
      <c r="I282" t="s">
        <v>30</v>
      </c>
      <c r="J282" t="s">
        <v>360</v>
      </c>
      <c r="K282" t="str">
        <f>"51a"</f>
        <v>51a</v>
      </c>
      <c r="L282" t="str">
        <f>""</f>
        <v/>
      </c>
      <c r="M282" t="str">
        <f>"96-300"</f>
        <v>96-300</v>
      </c>
      <c r="N282" t="str">
        <f>"604938268"</f>
        <v>604938268</v>
      </c>
      <c r="P282" t="s">
        <v>24</v>
      </c>
    </row>
    <row r="283" spans="1:16" hidden="1" x14ac:dyDescent="0.25">
      <c r="A283">
        <v>21491</v>
      </c>
      <c r="B283" t="str">
        <f>"302230717"</f>
        <v>302230717</v>
      </c>
      <c r="C283" t="s">
        <v>16</v>
      </c>
      <c r="D283" t="s">
        <v>1081</v>
      </c>
      <c r="E283" t="s">
        <v>157</v>
      </c>
      <c r="F283" t="s">
        <v>158</v>
      </c>
      <c r="G283" t="s">
        <v>787</v>
      </c>
      <c r="H283" t="s">
        <v>787</v>
      </c>
      <c r="I283" t="s">
        <v>42</v>
      </c>
      <c r="J283" t="s">
        <v>1082</v>
      </c>
      <c r="K283" t="str">
        <f>"14"</f>
        <v>14</v>
      </c>
      <c r="L283" t="str">
        <f>""</f>
        <v/>
      </c>
      <c r="M283" t="str">
        <f>"60-369"</f>
        <v>60-369</v>
      </c>
      <c r="N283" t="str">
        <f>"501726286"</f>
        <v>501726286</v>
      </c>
      <c r="P283" t="s">
        <v>24</v>
      </c>
    </row>
    <row r="284" spans="1:16" hidden="1" x14ac:dyDescent="0.25">
      <c r="A284">
        <v>278486</v>
      </c>
      <c r="B284" t="str">
        <f>"389925601"</f>
        <v>389925601</v>
      </c>
      <c r="C284" t="s">
        <v>16</v>
      </c>
      <c r="D284" t="s">
        <v>1083</v>
      </c>
      <c r="E284" t="s">
        <v>80</v>
      </c>
      <c r="F284" t="s">
        <v>145</v>
      </c>
      <c r="G284" t="s">
        <v>146</v>
      </c>
      <c r="H284" t="s">
        <v>146</v>
      </c>
      <c r="I284" t="s">
        <v>30</v>
      </c>
      <c r="J284" t="s">
        <v>1084</v>
      </c>
      <c r="K284" t="str">
        <f>"7B"</f>
        <v>7B</v>
      </c>
      <c r="L284" t="str">
        <f>""</f>
        <v/>
      </c>
      <c r="M284" t="str">
        <f>"84-200"</f>
        <v>84-200</v>
      </c>
      <c r="N284" t="str">
        <f>"883240243"</f>
        <v>883240243</v>
      </c>
      <c r="O284" t="s">
        <v>1085</v>
      </c>
      <c r="P284" t="s">
        <v>24</v>
      </c>
    </row>
    <row r="285" spans="1:16" hidden="1" x14ac:dyDescent="0.25">
      <c r="A285">
        <v>276309</v>
      </c>
      <c r="B285" t="str">
        <f>"387085663"</f>
        <v>387085663</v>
      </c>
      <c r="C285" t="s">
        <v>16</v>
      </c>
      <c r="D285" t="s">
        <v>1086</v>
      </c>
      <c r="E285" t="s">
        <v>18</v>
      </c>
      <c r="F285" t="s">
        <v>19</v>
      </c>
      <c r="G285" t="s">
        <v>20</v>
      </c>
      <c r="H285" t="s">
        <v>20</v>
      </c>
      <c r="I285" t="s">
        <v>21</v>
      </c>
      <c r="J285" t="s">
        <v>1087</v>
      </c>
      <c r="K285" t="str">
        <f>"52/54"</f>
        <v>52/54</v>
      </c>
      <c r="L285" t="str">
        <f>""</f>
        <v/>
      </c>
      <c r="M285" t="str">
        <f>"04-871"</f>
        <v>04-871</v>
      </c>
      <c r="N285" t="str">
        <f>"511410971"</f>
        <v>511410971</v>
      </c>
      <c r="O285" t="s">
        <v>1088</v>
      </c>
      <c r="P285" t="s">
        <v>24</v>
      </c>
    </row>
    <row r="286" spans="1:16" hidden="1" x14ac:dyDescent="0.25">
      <c r="A286">
        <v>480570</v>
      </c>
      <c r="B286" t="str">
        <f>"526174081"</f>
        <v>526174081</v>
      </c>
      <c r="C286" t="s">
        <v>16</v>
      </c>
      <c r="D286" t="s">
        <v>1090</v>
      </c>
      <c r="E286" t="s">
        <v>64</v>
      </c>
      <c r="F286" t="s">
        <v>1091</v>
      </c>
      <c r="G286" t="s">
        <v>1092</v>
      </c>
      <c r="H286" t="s">
        <v>1092</v>
      </c>
      <c r="I286" t="s">
        <v>30</v>
      </c>
      <c r="J286" t="s">
        <v>1093</v>
      </c>
      <c r="K286" t="str">
        <f>"5r"</f>
        <v>5r</v>
      </c>
      <c r="L286" t="str">
        <f>""</f>
        <v/>
      </c>
      <c r="M286" t="str">
        <f>"56-400"</f>
        <v>56-400</v>
      </c>
      <c r="N286" t="str">
        <f>"530510509"</f>
        <v>530510509</v>
      </c>
      <c r="O286" t="s">
        <v>1094</v>
      </c>
      <c r="P286" t="s">
        <v>24</v>
      </c>
    </row>
    <row r="287" spans="1:16" hidden="1" x14ac:dyDescent="0.25">
      <c r="A287">
        <v>478835</v>
      </c>
      <c r="B287" t="str">
        <f>"523056694"</f>
        <v>523056694</v>
      </c>
      <c r="C287" t="s">
        <v>16</v>
      </c>
      <c r="D287" t="s">
        <v>1095</v>
      </c>
      <c r="E287" t="s">
        <v>27</v>
      </c>
      <c r="F287" t="s">
        <v>123</v>
      </c>
      <c r="G287" t="s">
        <v>124</v>
      </c>
      <c r="H287" t="s">
        <v>124</v>
      </c>
      <c r="I287" t="s">
        <v>42</v>
      </c>
      <c r="J287" t="s">
        <v>1096</v>
      </c>
      <c r="K287" t="str">
        <f>"2b"</f>
        <v>2b</v>
      </c>
      <c r="L287" t="str">
        <f>"LU2, LU3"</f>
        <v>LU2, LU3</v>
      </c>
      <c r="M287" t="str">
        <f>"30-348"</f>
        <v>30-348</v>
      </c>
      <c r="N287" t="str">
        <f>"537384318"</f>
        <v>537384318</v>
      </c>
      <c r="O287" t="s">
        <v>1097</v>
      </c>
      <c r="P287" t="s">
        <v>24</v>
      </c>
    </row>
    <row r="288" spans="1:16" hidden="1" x14ac:dyDescent="0.25">
      <c r="A288">
        <v>277241</v>
      </c>
      <c r="B288" t="str">
        <f>"388420320"</f>
        <v>388420320</v>
      </c>
      <c r="C288" t="s">
        <v>16</v>
      </c>
      <c r="D288" t="s">
        <v>1098</v>
      </c>
      <c r="E288" t="s">
        <v>18</v>
      </c>
      <c r="F288" t="s">
        <v>19</v>
      </c>
      <c r="G288" t="s">
        <v>89</v>
      </c>
      <c r="H288" t="s">
        <v>89</v>
      </c>
      <c r="I288" t="s">
        <v>21</v>
      </c>
      <c r="J288" t="s">
        <v>1099</v>
      </c>
      <c r="K288" t="str">
        <f>"48"</f>
        <v>48</v>
      </c>
      <c r="L288" t="str">
        <f>"26"</f>
        <v>26</v>
      </c>
      <c r="M288" t="str">
        <f>"02-495"</f>
        <v>02-495</v>
      </c>
      <c r="N288" t="str">
        <f>"500153976"</f>
        <v>500153976</v>
      </c>
      <c r="O288" t="s">
        <v>1100</v>
      </c>
      <c r="P288" t="s">
        <v>24</v>
      </c>
    </row>
    <row r="289" spans="1:16" hidden="1" x14ac:dyDescent="0.25">
      <c r="A289">
        <v>132425</v>
      </c>
      <c r="B289" t="str">
        <f>"365622977"</f>
        <v>365622977</v>
      </c>
      <c r="C289" t="s">
        <v>16</v>
      </c>
      <c r="D289" t="s">
        <v>1102</v>
      </c>
      <c r="E289" t="s">
        <v>157</v>
      </c>
      <c r="F289" t="s">
        <v>158</v>
      </c>
      <c r="G289" t="s">
        <v>928</v>
      </c>
      <c r="H289" t="s">
        <v>928</v>
      </c>
      <c r="I289" t="s">
        <v>42</v>
      </c>
      <c r="J289" t="s">
        <v>1103</v>
      </c>
      <c r="K289" t="str">
        <f>"4H"</f>
        <v>4H</v>
      </c>
      <c r="L289" t="str">
        <f>""</f>
        <v/>
      </c>
      <c r="M289" t="str">
        <f>"61-616"</f>
        <v>61-616</v>
      </c>
      <c r="N289" t="str">
        <f>"602401593"</f>
        <v>602401593</v>
      </c>
      <c r="P289" t="s">
        <v>24</v>
      </c>
    </row>
    <row r="290" spans="1:16" hidden="1" x14ac:dyDescent="0.25">
      <c r="A290">
        <v>267315</v>
      </c>
      <c r="B290" t="str">
        <f>"380097700"</f>
        <v>380097700</v>
      </c>
      <c r="C290" t="s">
        <v>16</v>
      </c>
      <c r="D290" t="s">
        <v>1104</v>
      </c>
      <c r="E290" t="s">
        <v>80</v>
      </c>
      <c r="F290" t="s">
        <v>1105</v>
      </c>
      <c r="G290" t="s">
        <v>1106</v>
      </c>
      <c r="H290" t="s">
        <v>1106</v>
      </c>
      <c r="I290" t="s">
        <v>30</v>
      </c>
      <c r="J290" t="s">
        <v>1107</v>
      </c>
      <c r="K290" t="str">
        <f>"7"</f>
        <v>7</v>
      </c>
      <c r="L290" t="str">
        <f>"1"</f>
        <v>1</v>
      </c>
      <c r="M290" t="str">
        <f>"83-000"</f>
        <v>83-000</v>
      </c>
      <c r="N290" t="str">
        <f>"730365000"</f>
        <v>730365000</v>
      </c>
      <c r="O290" t="s">
        <v>1108</v>
      </c>
      <c r="P290" t="s">
        <v>24</v>
      </c>
    </row>
    <row r="291" spans="1:16" hidden="1" x14ac:dyDescent="0.25">
      <c r="A291">
        <v>125366</v>
      </c>
      <c r="B291" t="str">
        <f>"302832497"</f>
        <v>302832497</v>
      </c>
      <c r="C291" t="s">
        <v>16</v>
      </c>
      <c r="D291" t="s">
        <v>1109</v>
      </c>
      <c r="E291" t="s">
        <v>157</v>
      </c>
      <c r="F291" t="s">
        <v>158</v>
      </c>
      <c r="G291" t="s">
        <v>787</v>
      </c>
      <c r="H291" t="s">
        <v>787</v>
      </c>
      <c r="I291" t="s">
        <v>42</v>
      </c>
      <c r="J291" t="s">
        <v>1110</v>
      </c>
      <c r="K291" t="str">
        <f>"44"</f>
        <v>44</v>
      </c>
      <c r="L291" t="str">
        <f>""</f>
        <v/>
      </c>
      <c r="M291" t="str">
        <f>"60-239"</f>
        <v>60-239</v>
      </c>
      <c r="N291" t="str">
        <f>"504002071"</f>
        <v>504002071</v>
      </c>
      <c r="P291" t="s">
        <v>24</v>
      </c>
    </row>
    <row r="292" spans="1:16" hidden="1" x14ac:dyDescent="0.25">
      <c r="A292">
        <v>277092</v>
      </c>
      <c r="B292" t="str">
        <f>"388148288"</f>
        <v>388148288</v>
      </c>
      <c r="C292" t="s">
        <v>16</v>
      </c>
      <c r="D292" t="s">
        <v>1111</v>
      </c>
      <c r="E292" t="s">
        <v>117</v>
      </c>
      <c r="F292" t="s">
        <v>1112</v>
      </c>
      <c r="G292" t="s">
        <v>1113</v>
      </c>
      <c r="H292" t="s">
        <v>1113</v>
      </c>
      <c r="I292" t="s">
        <v>30</v>
      </c>
      <c r="J292" t="s">
        <v>1114</v>
      </c>
      <c r="K292" t="str">
        <f>"2"</f>
        <v>2</v>
      </c>
      <c r="L292" t="str">
        <f>""</f>
        <v/>
      </c>
      <c r="M292" t="str">
        <f>"42-300"</f>
        <v>42-300</v>
      </c>
      <c r="N292" t="str">
        <f>"570718645"</f>
        <v>570718645</v>
      </c>
      <c r="O292" t="s">
        <v>1115</v>
      </c>
      <c r="P292" t="s">
        <v>24</v>
      </c>
    </row>
    <row r="293" spans="1:16" hidden="1" x14ac:dyDescent="0.25">
      <c r="A293">
        <v>132996</v>
      </c>
      <c r="B293" t="str">
        <f>"366480663"</f>
        <v>366480663</v>
      </c>
      <c r="C293" t="s">
        <v>16</v>
      </c>
      <c r="D293" t="s">
        <v>1118</v>
      </c>
      <c r="E293" t="s">
        <v>101</v>
      </c>
      <c r="F293" t="s">
        <v>102</v>
      </c>
      <c r="G293" t="s">
        <v>102</v>
      </c>
      <c r="H293" t="s">
        <v>102</v>
      </c>
      <c r="I293" t="s">
        <v>30</v>
      </c>
      <c r="J293" t="s">
        <v>660</v>
      </c>
      <c r="K293" t="str">
        <f>"3"</f>
        <v>3</v>
      </c>
      <c r="L293" t="str">
        <f>""</f>
        <v/>
      </c>
      <c r="M293" t="str">
        <f>"35-303"</f>
        <v>35-303</v>
      </c>
      <c r="N293" t="str">
        <f>"601829211"</f>
        <v>601829211</v>
      </c>
      <c r="P293" t="s">
        <v>24</v>
      </c>
    </row>
    <row r="294" spans="1:16" hidden="1" x14ac:dyDescent="0.25">
      <c r="A294">
        <v>262204</v>
      </c>
      <c r="B294" t="str">
        <f>"367996570"</f>
        <v>367996570</v>
      </c>
      <c r="C294" t="s">
        <v>16</v>
      </c>
      <c r="D294" t="s">
        <v>1119</v>
      </c>
      <c r="E294" t="s">
        <v>117</v>
      </c>
      <c r="F294" t="s">
        <v>921</v>
      </c>
      <c r="G294" t="s">
        <v>921</v>
      </c>
      <c r="H294" t="s">
        <v>921</v>
      </c>
      <c r="I294" t="s">
        <v>30</v>
      </c>
      <c r="J294" t="s">
        <v>1120</v>
      </c>
      <c r="K294" t="str">
        <f>"99B"</f>
        <v>99B</v>
      </c>
      <c r="L294" t="str">
        <f>"1"</f>
        <v>1</v>
      </c>
      <c r="M294" t="str">
        <f>"41-218"</f>
        <v>41-218</v>
      </c>
      <c r="N294" t="str">
        <f>"506506761"</f>
        <v>506506761</v>
      </c>
      <c r="O294" t="s">
        <v>1121</v>
      </c>
      <c r="P294" t="s">
        <v>24</v>
      </c>
    </row>
    <row r="295" spans="1:16" hidden="1" x14ac:dyDescent="0.25">
      <c r="A295">
        <v>275844</v>
      </c>
      <c r="B295" t="str">
        <f>"386941858"</f>
        <v>386941858</v>
      </c>
      <c r="C295" t="s">
        <v>16</v>
      </c>
      <c r="D295" t="s">
        <v>1122</v>
      </c>
      <c r="E295" t="s">
        <v>27</v>
      </c>
      <c r="F295" t="s">
        <v>284</v>
      </c>
      <c r="G295" t="s">
        <v>1123</v>
      </c>
      <c r="H295" t="s">
        <v>1123</v>
      </c>
      <c r="I295" t="s">
        <v>30</v>
      </c>
      <c r="J295" t="s">
        <v>1124</v>
      </c>
      <c r="K295" t="str">
        <f>"30"</f>
        <v>30</v>
      </c>
      <c r="L295" t="str">
        <f>""</f>
        <v/>
      </c>
      <c r="M295" t="str">
        <f>"32-332"</f>
        <v>32-332</v>
      </c>
      <c r="N295" t="str">
        <f>"573993472"</f>
        <v>573993472</v>
      </c>
      <c r="O295" t="s">
        <v>1125</v>
      </c>
      <c r="P295" t="s">
        <v>24</v>
      </c>
    </row>
    <row r="296" spans="1:16" hidden="1" x14ac:dyDescent="0.25">
      <c r="A296">
        <v>269563</v>
      </c>
      <c r="B296" t="str">
        <f>"381552112"</f>
        <v>381552112</v>
      </c>
      <c r="C296" t="s">
        <v>16</v>
      </c>
      <c r="D296" t="s">
        <v>1126</v>
      </c>
      <c r="E296" t="s">
        <v>18</v>
      </c>
      <c r="F296" t="s">
        <v>19</v>
      </c>
      <c r="G296" t="s">
        <v>149</v>
      </c>
      <c r="H296" t="s">
        <v>149</v>
      </c>
      <c r="I296" t="s">
        <v>21</v>
      </c>
      <c r="J296" t="s">
        <v>1127</v>
      </c>
      <c r="K296" t="str">
        <f>"15"</f>
        <v>15</v>
      </c>
      <c r="L296" t="str">
        <f>""</f>
        <v/>
      </c>
      <c r="M296" t="str">
        <f>"01-496"</f>
        <v>01-496</v>
      </c>
      <c r="N296" t="str">
        <f>"510255658"</f>
        <v>510255658</v>
      </c>
      <c r="O296" t="s">
        <v>1128</v>
      </c>
      <c r="P296" t="s">
        <v>24</v>
      </c>
    </row>
    <row r="297" spans="1:16" hidden="1" x14ac:dyDescent="0.25">
      <c r="A297">
        <v>124502</v>
      </c>
      <c r="B297" t="str">
        <f>"022487278"</f>
        <v>022487278</v>
      </c>
      <c r="C297" t="s">
        <v>16</v>
      </c>
      <c r="D297" t="s">
        <v>1129</v>
      </c>
      <c r="E297" t="s">
        <v>64</v>
      </c>
      <c r="F297" t="s">
        <v>1130</v>
      </c>
      <c r="G297" t="s">
        <v>1131</v>
      </c>
      <c r="H297" t="s">
        <v>1131</v>
      </c>
      <c r="I297" t="s">
        <v>30</v>
      </c>
      <c r="J297" t="s">
        <v>1132</v>
      </c>
      <c r="K297" t="str">
        <f>"33"</f>
        <v>33</v>
      </c>
      <c r="L297" t="str">
        <f>"1"</f>
        <v>1</v>
      </c>
      <c r="M297" t="str">
        <f>"55-100"</f>
        <v>55-100</v>
      </c>
      <c r="N297" t="str">
        <f>"609028393"</f>
        <v>609028393</v>
      </c>
      <c r="O297" t="s">
        <v>1133</v>
      </c>
      <c r="P297" t="s">
        <v>24</v>
      </c>
    </row>
    <row r="298" spans="1:16" hidden="1" x14ac:dyDescent="0.25">
      <c r="A298">
        <v>129690</v>
      </c>
      <c r="B298" t="str">
        <f>"362792740"</f>
        <v>362792740</v>
      </c>
      <c r="C298" t="s">
        <v>16</v>
      </c>
      <c r="D298" t="s">
        <v>1134</v>
      </c>
      <c r="E298" t="s">
        <v>64</v>
      </c>
      <c r="F298" t="s">
        <v>255</v>
      </c>
      <c r="G298" t="s">
        <v>634</v>
      </c>
      <c r="H298" t="s">
        <v>634</v>
      </c>
      <c r="I298" t="s">
        <v>42</v>
      </c>
      <c r="J298" t="s">
        <v>1135</v>
      </c>
      <c r="K298" t="str">
        <f>"14a"</f>
        <v>14a</v>
      </c>
      <c r="L298" t="str">
        <f>""</f>
        <v/>
      </c>
      <c r="M298" t="str">
        <f>"51-354"</f>
        <v>51-354</v>
      </c>
      <c r="N298" t="str">
        <f>"609028393"</f>
        <v>609028393</v>
      </c>
      <c r="O298" t="s">
        <v>1133</v>
      </c>
      <c r="P298" t="s">
        <v>24</v>
      </c>
    </row>
    <row r="299" spans="1:16" hidden="1" x14ac:dyDescent="0.25">
      <c r="A299">
        <v>263915</v>
      </c>
      <c r="B299" t="str">
        <f>"368240331"</f>
        <v>368240331</v>
      </c>
      <c r="C299" t="s">
        <v>16</v>
      </c>
      <c r="D299" t="s">
        <v>1136</v>
      </c>
      <c r="E299" t="s">
        <v>18</v>
      </c>
      <c r="F299" t="s">
        <v>1137</v>
      </c>
      <c r="G299" t="s">
        <v>1138</v>
      </c>
      <c r="H299" t="s">
        <v>1138</v>
      </c>
      <c r="I299" t="s">
        <v>30</v>
      </c>
      <c r="J299" t="s">
        <v>1139</v>
      </c>
      <c r="K299" t="str">
        <f>"39"</f>
        <v>39</v>
      </c>
      <c r="L299" t="str">
        <f>""</f>
        <v/>
      </c>
      <c r="M299" t="str">
        <f>"05-850"</f>
        <v>05-850</v>
      </c>
      <c r="N299" t="str">
        <f>"797808684"</f>
        <v>797808684</v>
      </c>
      <c r="P299" t="s">
        <v>24</v>
      </c>
    </row>
    <row r="300" spans="1:16" hidden="1" x14ac:dyDescent="0.25">
      <c r="A300">
        <v>479175</v>
      </c>
      <c r="B300" t="str">
        <f>"523228385"</f>
        <v>523228385</v>
      </c>
      <c r="C300" t="s">
        <v>16</v>
      </c>
      <c r="D300" t="s">
        <v>1140</v>
      </c>
      <c r="E300" t="s">
        <v>34</v>
      </c>
      <c r="F300" t="s">
        <v>1141</v>
      </c>
      <c r="G300" t="s">
        <v>1142</v>
      </c>
      <c r="H300" t="s">
        <v>1142</v>
      </c>
      <c r="I300" t="s">
        <v>30</v>
      </c>
      <c r="J300" t="s">
        <v>1143</v>
      </c>
      <c r="K300" t="str">
        <f>"38"</f>
        <v>38</v>
      </c>
      <c r="L300" t="str">
        <f>""</f>
        <v/>
      </c>
      <c r="M300" t="str">
        <f>"78-300"</f>
        <v>78-300</v>
      </c>
      <c r="N300" t="str">
        <f>"697385009"</f>
        <v>697385009</v>
      </c>
      <c r="O300" t="s">
        <v>1144</v>
      </c>
      <c r="P300" t="s">
        <v>24</v>
      </c>
    </row>
    <row r="301" spans="1:16" hidden="1" x14ac:dyDescent="0.25">
      <c r="A301">
        <v>124037</v>
      </c>
      <c r="B301" t="str">
        <f>"147370757"</f>
        <v>147370757</v>
      </c>
      <c r="C301" t="s">
        <v>16</v>
      </c>
      <c r="D301" t="s">
        <v>1145</v>
      </c>
      <c r="E301" t="s">
        <v>18</v>
      </c>
      <c r="F301" t="s">
        <v>451</v>
      </c>
      <c r="G301" t="s">
        <v>452</v>
      </c>
      <c r="H301" t="s">
        <v>452</v>
      </c>
      <c r="I301" t="s">
        <v>30</v>
      </c>
      <c r="J301" t="s">
        <v>1146</v>
      </c>
      <c r="K301" t="str">
        <f>"6A"</f>
        <v>6A</v>
      </c>
      <c r="L301" t="str">
        <f>""</f>
        <v/>
      </c>
      <c r="M301" t="str">
        <f>"05-260"</f>
        <v>05-260</v>
      </c>
      <c r="N301" t="str">
        <f>"539975579"</f>
        <v>539975579</v>
      </c>
      <c r="O301" t="s">
        <v>1147</v>
      </c>
      <c r="P301" t="s">
        <v>24</v>
      </c>
    </row>
    <row r="302" spans="1:16" hidden="1" x14ac:dyDescent="0.25">
      <c r="A302">
        <v>278709</v>
      </c>
      <c r="B302" t="str">
        <f>"520045299"</f>
        <v>520045299</v>
      </c>
      <c r="C302" t="s">
        <v>16</v>
      </c>
      <c r="D302" t="s">
        <v>1148</v>
      </c>
      <c r="E302" t="s">
        <v>80</v>
      </c>
      <c r="F302" t="s">
        <v>145</v>
      </c>
      <c r="G302" t="s">
        <v>146</v>
      </c>
      <c r="H302" t="s">
        <v>146</v>
      </c>
      <c r="I302" t="s">
        <v>30</v>
      </c>
      <c r="J302" t="s">
        <v>1149</v>
      </c>
      <c r="K302" t="str">
        <f>"11"</f>
        <v>11</v>
      </c>
      <c r="L302" t="str">
        <f>"2"</f>
        <v>2</v>
      </c>
      <c r="M302" t="str">
        <f>"84-200"</f>
        <v>84-200</v>
      </c>
      <c r="N302" t="str">
        <f>"789302506"</f>
        <v>789302506</v>
      </c>
      <c r="O302" t="s">
        <v>1150</v>
      </c>
      <c r="P302" t="s">
        <v>24</v>
      </c>
    </row>
    <row r="303" spans="1:16" hidden="1" x14ac:dyDescent="0.25">
      <c r="A303">
        <v>262622</v>
      </c>
      <c r="B303" t="str">
        <f>"368041896"</f>
        <v>368041896</v>
      </c>
      <c r="C303" t="s">
        <v>16</v>
      </c>
      <c r="D303" t="s">
        <v>1151</v>
      </c>
      <c r="E303" t="s">
        <v>18</v>
      </c>
      <c r="F303" t="s">
        <v>19</v>
      </c>
      <c r="G303" t="s">
        <v>273</v>
      </c>
      <c r="H303" t="s">
        <v>273</v>
      </c>
      <c r="I303" t="s">
        <v>21</v>
      </c>
      <c r="J303" t="s">
        <v>1152</v>
      </c>
      <c r="K303" t="str">
        <f>"87"</f>
        <v>87</v>
      </c>
      <c r="L303" t="str">
        <f>"u8"</f>
        <v>u8</v>
      </c>
      <c r="M303" t="str">
        <f>"01-307"</f>
        <v>01-307</v>
      </c>
      <c r="N303" t="str">
        <f>"695090125"</f>
        <v>695090125</v>
      </c>
      <c r="O303" t="s">
        <v>1153</v>
      </c>
      <c r="P303" t="s">
        <v>24</v>
      </c>
    </row>
    <row r="304" spans="1:16" hidden="1" x14ac:dyDescent="0.25">
      <c r="A304">
        <v>133284</v>
      </c>
      <c r="B304" t="str">
        <f>"366919410"</f>
        <v>366919410</v>
      </c>
      <c r="C304" t="s">
        <v>16</v>
      </c>
      <c r="D304" t="s">
        <v>1154</v>
      </c>
      <c r="E304" t="s">
        <v>157</v>
      </c>
      <c r="F304" t="s">
        <v>1155</v>
      </c>
      <c r="G304" t="s">
        <v>1156</v>
      </c>
      <c r="H304" t="s">
        <v>1156</v>
      </c>
      <c r="I304" t="s">
        <v>30</v>
      </c>
      <c r="J304" t="s">
        <v>1157</v>
      </c>
      <c r="K304" t="str">
        <f>"4"</f>
        <v>4</v>
      </c>
      <c r="L304" t="str">
        <f>""</f>
        <v/>
      </c>
      <c r="M304" t="str">
        <f>"62-200"</f>
        <v>62-200</v>
      </c>
      <c r="N304" t="str">
        <f>"608181070"</f>
        <v>608181070</v>
      </c>
      <c r="O304" t="s">
        <v>1158</v>
      </c>
      <c r="P304" t="s">
        <v>24</v>
      </c>
    </row>
    <row r="305" spans="1:16" hidden="1" x14ac:dyDescent="0.25">
      <c r="A305">
        <v>278753</v>
      </c>
      <c r="B305" t="str">
        <f>"520058066"</f>
        <v>520058066</v>
      </c>
      <c r="C305" t="s">
        <v>16</v>
      </c>
      <c r="D305" t="s">
        <v>1159</v>
      </c>
      <c r="E305" t="s">
        <v>80</v>
      </c>
      <c r="F305" t="s">
        <v>641</v>
      </c>
      <c r="G305" t="s">
        <v>642</v>
      </c>
      <c r="H305" t="s">
        <v>1160</v>
      </c>
      <c r="I305" t="s">
        <v>68</v>
      </c>
      <c r="J305" t="s">
        <v>1161</v>
      </c>
      <c r="K305" t="str">
        <f>"1"</f>
        <v>1</v>
      </c>
      <c r="L305" t="str">
        <f>""</f>
        <v/>
      </c>
      <c r="M305" t="str">
        <f>"81-198"</f>
        <v>81-198</v>
      </c>
      <c r="N305" t="str">
        <f>"518464680"</f>
        <v>518464680</v>
      </c>
      <c r="O305" t="s">
        <v>1162</v>
      </c>
      <c r="P305" t="s">
        <v>24</v>
      </c>
    </row>
    <row r="306" spans="1:16" hidden="1" x14ac:dyDescent="0.25">
      <c r="A306">
        <v>132233</v>
      </c>
      <c r="B306" t="str">
        <f>"365524708"</f>
        <v>365524708</v>
      </c>
      <c r="C306" t="s">
        <v>16</v>
      </c>
      <c r="D306" t="s">
        <v>1163</v>
      </c>
      <c r="E306" t="s">
        <v>18</v>
      </c>
      <c r="F306" t="s">
        <v>134</v>
      </c>
      <c r="G306" t="s">
        <v>134</v>
      </c>
      <c r="H306" t="s">
        <v>134</v>
      </c>
      <c r="I306" t="s">
        <v>30</v>
      </c>
      <c r="J306" t="s">
        <v>1164</v>
      </c>
      <c r="K306" t="str">
        <f>"2"</f>
        <v>2</v>
      </c>
      <c r="L306" t="str">
        <f>""</f>
        <v/>
      </c>
      <c r="M306" t="str">
        <f>"09-410"</f>
        <v>09-410</v>
      </c>
      <c r="N306" t="str">
        <f>"881206506"</f>
        <v>881206506</v>
      </c>
      <c r="O306" t="s">
        <v>1165</v>
      </c>
      <c r="P306" t="s">
        <v>24</v>
      </c>
    </row>
    <row r="307" spans="1:16" hidden="1" x14ac:dyDescent="0.25">
      <c r="A307">
        <v>20810</v>
      </c>
      <c r="B307" t="str">
        <f>"221750075"</f>
        <v>221750075</v>
      </c>
      <c r="C307" t="s">
        <v>16</v>
      </c>
      <c r="D307" t="s">
        <v>1166</v>
      </c>
      <c r="E307" t="s">
        <v>80</v>
      </c>
      <c r="F307" t="s">
        <v>339</v>
      </c>
      <c r="G307" t="s">
        <v>339</v>
      </c>
      <c r="H307" t="s">
        <v>339</v>
      </c>
      <c r="I307" t="s">
        <v>30</v>
      </c>
      <c r="J307" t="s">
        <v>1167</v>
      </c>
      <c r="K307" t="str">
        <f>"42"</f>
        <v>42</v>
      </c>
      <c r="L307" t="str">
        <f>"1"</f>
        <v>1</v>
      </c>
      <c r="M307" t="str">
        <f>"80-283"</f>
        <v>80-283</v>
      </c>
      <c r="N307" t="str">
        <f>"795596629"</f>
        <v>795596629</v>
      </c>
      <c r="O307" t="s">
        <v>1168</v>
      </c>
      <c r="P307" t="s">
        <v>24</v>
      </c>
    </row>
    <row r="308" spans="1:16" hidden="1" x14ac:dyDescent="0.25">
      <c r="A308">
        <v>132018</v>
      </c>
      <c r="B308" t="str">
        <f>"365421291"</f>
        <v>365421291</v>
      </c>
      <c r="C308" t="s">
        <v>16</v>
      </c>
      <c r="D308" t="s">
        <v>1169</v>
      </c>
      <c r="E308" t="s">
        <v>117</v>
      </c>
      <c r="F308" t="s">
        <v>1170</v>
      </c>
      <c r="G308" t="s">
        <v>1171</v>
      </c>
      <c r="H308" t="s">
        <v>1171</v>
      </c>
      <c r="I308" t="s">
        <v>30</v>
      </c>
      <c r="J308" t="s">
        <v>1172</v>
      </c>
      <c r="K308" t="str">
        <f>"13"</f>
        <v>13</v>
      </c>
      <c r="L308" t="str">
        <f>""</f>
        <v/>
      </c>
      <c r="M308" t="str">
        <f>"44-307"</f>
        <v>44-307</v>
      </c>
      <c r="N308" t="str">
        <f>"792814723"</f>
        <v>792814723</v>
      </c>
      <c r="O308" t="s">
        <v>1173</v>
      </c>
      <c r="P308" t="s">
        <v>24</v>
      </c>
    </row>
    <row r="309" spans="1:16" hidden="1" x14ac:dyDescent="0.25">
      <c r="A309">
        <v>124868</v>
      </c>
      <c r="B309" t="str">
        <f>"147408840"</f>
        <v>147408840</v>
      </c>
      <c r="C309" t="s">
        <v>16</v>
      </c>
      <c r="D309" t="s">
        <v>1174</v>
      </c>
      <c r="E309" t="s">
        <v>18</v>
      </c>
      <c r="F309" t="s">
        <v>1175</v>
      </c>
      <c r="G309" t="s">
        <v>1176</v>
      </c>
      <c r="H309" t="s">
        <v>1176</v>
      </c>
      <c r="I309" t="s">
        <v>30</v>
      </c>
      <c r="J309" t="s">
        <v>509</v>
      </c>
      <c r="K309" t="str">
        <f>"77"</f>
        <v>77</v>
      </c>
      <c r="L309" t="str">
        <f>""</f>
        <v/>
      </c>
      <c r="M309" t="str">
        <f>"08-400"</f>
        <v>08-400</v>
      </c>
      <c r="N309" t="str">
        <f>"664972800"</f>
        <v>664972800</v>
      </c>
      <c r="O309" t="s">
        <v>1177</v>
      </c>
      <c r="P309" t="s">
        <v>24</v>
      </c>
    </row>
    <row r="310" spans="1:16" hidden="1" x14ac:dyDescent="0.25">
      <c r="A310">
        <v>266464</v>
      </c>
      <c r="B310" t="str">
        <f>"369508646"</f>
        <v>369508646</v>
      </c>
      <c r="C310" t="s">
        <v>16</v>
      </c>
      <c r="D310" t="s">
        <v>1178</v>
      </c>
      <c r="E310" t="s">
        <v>117</v>
      </c>
      <c r="F310" t="s">
        <v>216</v>
      </c>
      <c r="G310" t="s">
        <v>216</v>
      </c>
      <c r="H310" t="s">
        <v>216</v>
      </c>
      <c r="I310" t="s">
        <v>30</v>
      </c>
      <c r="J310" t="s">
        <v>1179</v>
      </c>
      <c r="K310" t="str">
        <f>"2"</f>
        <v>2</v>
      </c>
      <c r="L310" t="str">
        <f>""</f>
        <v/>
      </c>
      <c r="M310" t="str">
        <f>"41-706"</f>
        <v>41-706</v>
      </c>
      <c r="N310" t="str">
        <f>"327265243"</f>
        <v>327265243</v>
      </c>
      <c r="O310" t="s">
        <v>1180</v>
      </c>
      <c r="P310" t="s">
        <v>24</v>
      </c>
    </row>
    <row r="311" spans="1:16" hidden="1" x14ac:dyDescent="0.25">
      <c r="A311">
        <v>264588</v>
      </c>
      <c r="B311" t="str">
        <f>"368388565"</f>
        <v>368388565</v>
      </c>
      <c r="C311" t="s">
        <v>16</v>
      </c>
      <c r="D311" t="s">
        <v>1181</v>
      </c>
      <c r="E311" t="s">
        <v>80</v>
      </c>
      <c r="F311" t="s">
        <v>571</v>
      </c>
      <c r="G311" t="s">
        <v>571</v>
      </c>
      <c r="H311" t="s">
        <v>571</v>
      </c>
      <c r="I311" t="s">
        <v>30</v>
      </c>
      <c r="J311" t="s">
        <v>1182</v>
      </c>
      <c r="K311" t="str">
        <f>"4"</f>
        <v>4</v>
      </c>
      <c r="L311" t="str">
        <f>""</f>
        <v/>
      </c>
      <c r="M311" t="str">
        <f>"81-425"</f>
        <v>81-425</v>
      </c>
      <c r="N311" t="str">
        <f>"586220748"</f>
        <v>586220748</v>
      </c>
      <c r="O311" t="s">
        <v>1183</v>
      </c>
      <c r="P311" t="s">
        <v>24</v>
      </c>
    </row>
    <row r="312" spans="1:16" hidden="1" x14ac:dyDescent="0.25">
      <c r="A312">
        <v>129934</v>
      </c>
      <c r="B312" t="str">
        <f>"363125631"</f>
        <v>363125631</v>
      </c>
      <c r="C312" t="s">
        <v>25</v>
      </c>
      <c r="D312" t="s">
        <v>1184</v>
      </c>
      <c r="E312" t="s">
        <v>64</v>
      </c>
      <c r="F312" t="s">
        <v>1185</v>
      </c>
      <c r="G312" t="s">
        <v>1185</v>
      </c>
      <c r="H312" t="s">
        <v>1185</v>
      </c>
      <c r="I312" t="s">
        <v>30</v>
      </c>
      <c r="J312" t="s">
        <v>1186</v>
      </c>
      <c r="K312" t="str">
        <f>"8"</f>
        <v>8</v>
      </c>
      <c r="L312" t="str">
        <f>""</f>
        <v/>
      </c>
      <c r="M312" t="str">
        <f>"59-220"</f>
        <v>59-220</v>
      </c>
      <c r="N312" t="str">
        <f>"511215223"</f>
        <v>511215223</v>
      </c>
      <c r="O312" t="s">
        <v>1187</v>
      </c>
      <c r="P312" t="s">
        <v>24</v>
      </c>
    </row>
    <row r="313" spans="1:16" hidden="1" x14ac:dyDescent="0.25">
      <c r="A313">
        <v>129375</v>
      </c>
      <c r="B313" t="str">
        <f>"362574752"</f>
        <v>362574752</v>
      </c>
      <c r="C313" t="s">
        <v>16</v>
      </c>
      <c r="D313" t="s">
        <v>1188</v>
      </c>
      <c r="E313" t="s">
        <v>112</v>
      </c>
      <c r="F313" t="s">
        <v>113</v>
      </c>
      <c r="G313" t="s">
        <v>113</v>
      </c>
      <c r="H313" t="s">
        <v>113</v>
      </c>
      <c r="I313" t="s">
        <v>30</v>
      </c>
      <c r="J313" t="s">
        <v>1114</v>
      </c>
      <c r="K313" t="str">
        <f>"18"</f>
        <v>18</v>
      </c>
      <c r="L313" t="str">
        <f>"7a"</f>
        <v>7a</v>
      </c>
      <c r="M313" t="str">
        <f>"20-078"</f>
        <v>20-078</v>
      </c>
      <c r="N313" t="str">
        <f>"817411000"</f>
        <v>817411000</v>
      </c>
      <c r="O313" t="s">
        <v>1189</v>
      </c>
      <c r="P313" t="s">
        <v>24</v>
      </c>
    </row>
    <row r="314" spans="1:16" hidden="1" x14ac:dyDescent="0.25">
      <c r="A314">
        <v>133198</v>
      </c>
      <c r="B314" t="str">
        <f>"366801765"</f>
        <v>366801765</v>
      </c>
      <c r="C314" t="s">
        <v>16</v>
      </c>
      <c r="D314" t="s">
        <v>1190</v>
      </c>
      <c r="E314" t="s">
        <v>39</v>
      </c>
      <c r="F314" t="s">
        <v>1191</v>
      </c>
      <c r="G314" t="s">
        <v>1192</v>
      </c>
      <c r="H314" t="s">
        <v>1192</v>
      </c>
      <c r="I314" t="s">
        <v>30</v>
      </c>
      <c r="J314" t="s">
        <v>1193</v>
      </c>
      <c r="K314" t="str">
        <f>"73"</f>
        <v>73</v>
      </c>
      <c r="L314" t="str">
        <f>"3"</f>
        <v>3</v>
      </c>
      <c r="M314" t="str">
        <f>"26-300"</f>
        <v>26-300</v>
      </c>
      <c r="N314" t="str">
        <f>"725321061"</f>
        <v>725321061</v>
      </c>
      <c r="O314" t="s">
        <v>1194</v>
      </c>
      <c r="P314" t="s">
        <v>24</v>
      </c>
    </row>
    <row r="315" spans="1:16" hidden="1" x14ac:dyDescent="0.25">
      <c r="A315">
        <v>262714</v>
      </c>
      <c r="B315" t="str">
        <f>"368054440"</f>
        <v>368054440</v>
      </c>
      <c r="C315" t="s">
        <v>16</v>
      </c>
      <c r="D315" t="s">
        <v>1195</v>
      </c>
      <c r="E315" t="s">
        <v>34</v>
      </c>
      <c r="F315" t="s">
        <v>218</v>
      </c>
      <c r="G315" t="s">
        <v>219</v>
      </c>
      <c r="H315" t="s">
        <v>219</v>
      </c>
      <c r="I315" t="s">
        <v>30</v>
      </c>
      <c r="J315" t="s">
        <v>1196</v>
      </c>
      <c r="K315" t="str">
        <f>"71"</f>
        <v>71</v>
      </c>
      <c r="L315" t="str">
        <f>"122,124"</f>
        <v>122,124</v>
      </c>
      <c r="M315" t="str">
        <f>"73-110"</f>
        <v>73-110</v>
      </c>
      <c r="N315" t="str">
        <f>"609290191"</f>
        <v>609290191</v>
      </c>
      <c r="O315" t="s">
        <v>1197</v>
      </c>
      <c r="P315" t="s">
        <v>24</v>
      </c>
    </row>
    <row r="316" spans="1:16" hidden="1" x14ac:dyDescent="0.25">
      <c r="A316">
        <v>124122</v>
      </c>
      <c r="B316" t="str">
        <f>"181142320"</f>
        <v>181142320</v>
      </c>
      <c r="C316" t="s">
        <v>16</v>
      </c>
      <c r="D316" t="s">
        <v>1198</v>
      </c>
      <c r="E316" t="s">
        <v>101</v>
      </c>
      <c r="F316" t="s">
        <v>102</v>
      </c>
      <c r="G316" t="s">
        <v>102</v>
      </c>
      <c r="H316" t="s">
        <v>102</v>
      </c>
      <c r="I316" t="s">
        <v>30</v>
      </c>
      <c r="J316" t="s">
        <v>1199</v>
      </c>
      <c r="K316" t="str">
        <f>"28"</f>
        <v>28</v>
      </c>
      <c r="L316" t="str">
        <f>""</f>
        <v/>
      </c>
      <c r="M316" t="str">
        <f>"35-232"</f>
        <v>35-232</v>
      </c>
      <c r="N316" t="str">
        <f>"692451318"</f>
        <v>692451318</v>
      </c>
      <c r="O316" t="s">
        <v>1200</v>
      </c>
      <c r="P316" t="s">
        <v>24</v>
      </c>
    </row>
    <row r="317" spans="1:16" hidden="1" x14ac:dyDescent="0.25">
      <c r="A317">
        <v>479269</v>
      </c>
      <c r="B317" t="str">
        <f>"523271553"</f>
        <v>523271553</v>
      </c>
      <c r="C317" t="s">
        <v>16</v>
      </c>
      <c r="D317" t="s">
        <v>1201</v>
      </c>
      <c r="E317" t="s">
        <v>157</v>
      </c>
      <c r="F317" t="s">
        <v>162</v>
      </c>
      <c r="G317" t="s">
        <v>295</v>
      </c>
      <c r="H317" t="s">
        <v>1202</v>
      </c>
      <c r="I317" t="s">
        <v>68</v>
      </c>
      <c r="J317" t="s">
        <v>652</v>
      </c>
      <c r="K317" t="str">
        <f>"12"</f>
        <v>12</v>
      </c>
      <c r="L317" t="str">
        <f>""</f>
        <v/>
      </c>
      <c r="M317" t="str">
        <f>"62-004"</f>
        <v>62-004</v>
      </c>
      <c r="N317" t="str">
        <f>"506031749"</f>
        <v>506031749</v>
      </c>
      <c r="O317" t="s">
        <v>1203</v>
      </c>
      <c r="P317" t="s">
        <v>24</v>
      </c>
    </row>
    <row r="318" spans="1:16" hidden="1" x14ac:dyDescent="0.25">
      <c r="A318">
        <v>265043</v>
      </c>
      <c r="B318" t="str">
        <f>"368563070"</f>
        <v>368563070</v>
      </c>
      <c r="C318" t="s">
        <v>16</v>
      </c>
      <c r="D318" t="s">
        <v>1204</v>
      </c>
      <c r="E318" t="s">
        <v>157</v>
      </c>
      <c r="F318" t="s">
        <v>158</v>
      </c>
      <c r="G318" t="s">
        <v>787</v>
      </c>
      <c r="H318" t="s">
        <v>787</v>
      </c>
      <c r="I318" t="s">
        <v>42</v>
      </c>
      <c r="J318" t="s">
        <v>1205</v>
      </c>
      <c r="K318" t="str">
        <f>"22"</f>
        <v>22</v>
      </c>
      <c r="L318" t="str">
        <f>"3"</f>
        <v>3</v>
      </c>
      <c r="M318" t="str">
        <f>"60-214"</f>
        <v>60-214</v>
      </c>
      <c r="N318" t="str">
        <f>"607923093"</f>
        <v>607923093</v>
      </c>
      <c r="O318" t="s">
        <v>1206</v>
      </c>
      <c r="P318" t="s">
        <v>24</v>
      </c>
    </row>
    <row r="319" spans="1:16" hidden="1" x14ac:dyDescent="0.25">
      <c r="A319">
        <v>277117</v>
      </c>
      <c r="B319" t="str">
        <f>"388199239"</f>
        <v>388199239</v>
      </c>
      <c r="C319" t="s">
        <v>16</v>
      </c>
      <c r="D319" t="s">
        <v>1207</v>
      </c>
      <c r="E319" t="s">
        <v>18</v>
      </c>
      <c r="F319" t="s">
        <v>19</v>
      </c>
      <c r="G319" t="s">
        <v>886</v>
      </c>
      <c r="H319" t="s">
        <v>886</v>
      </c>
      <c r="I319" t="s">
        <v>21</v>
      </c>
      <c r="J319" t="s">
        <v>1208</v>
      </c>
      <c r="K319" t="str">
        <f>"1"</f>
        <v>1</v>
      </c>
      <c r="L319" t="str">
        <f>"U1"</f>
        <v>U1</v>
      </c>
      <c r="M319" t="str">
        <f>"02-654"</f>
        <v>02-654</v>
      </c>
      <c r="N319" t="str">
        <f>"511737731"</f>
        <v>511737731</v>
      </c>
      <c r="P319" t="s">
        <v>24</v>
      </c>
    </row>
    <row r="320" spans="1:16" hidden="1" x14ac:dyDescent="0.25">
      <c r="A320">
        <v>107468</v>
      </c>
      <c r="B320" t="str">
        <f>"243162088"</f>
        <v>243162088</v>
      </c>
      <c r="C320" t="s">
        <v>16</v>
      </c>
      <c r="D320" t="s">
        <v>1209</v>
      </c>
      <c r="E320" t="s">
        <v>117</v>
      </c>
      <c r="F320" t="s">
        <v>1210</v>
      </c>
      <c r="G320" t="s">
        <v>1211</v>
      </c>
      <c r="H320" t="s">
        <v>1211</v>
      </c>
      <c r="I320" t="s">
        <v>30</v>
      </c>
      <c r="J320" t="s">
        <v>1212</v>
      </c>
      <c r="K320" t="str">
        <f>"126A"</f>
        <v>126A</v>
      </c>
      <c r="L320" t="str">
        <f>""</f>
        <v/>
      </c>
      <c r="M320" t="str">
        <f>"42-612"</f>
        <v>42-612</v>
      </c>
      <c r="N320" t="str">
        <f>"530730558"</f>
        <v>530730558</v>
      </c>
      <c r="O320" t="s">
        <v>1213</v>
      </c>
      <c r="P320" t="s">
        <v>24</v>
      </c>
    </row>
    <row r="321" spans="1:16" hidden="1" x14ac:dyDescent="0.25">
      <c r="A321">
        <v>276137</v>
      </c>
      <c r="B321" t="str">
        <f>"387000052"</f>
        <v>387000052</v>
      </c>
      <c r="C321" t="s">
        <v>16</v>
      </c>
      <c r="D321" t="s">
        <v>1215</v>
      </c>
      <c r="E321" t="s">
        <v>27</v>
      </c>
      <c r="F321" t="s">
        <v>123</v>
      </c>
      <c r="G321" t="s">
        <v>124</v>
      </c>
      <c r="H321" t="s">
        <v>124</v>
      </c>
      <c r="I321" t="s">
        <v>42</v>
      </c>
      <c r="J321" t="s">
        <v>1216</v>
      </c>
      <c r="K321" t="str">
        <f>"3"</f>
        <v>3</v>
      </c>
      <c r="L321" t="str">
        <f>"45"</f>
        <v>45</v>
      </c>
      <c r="M321" t="str">
        <f>"30-348"</f>
        <v>30-348</v>
      </c>
      <c r="N321" t="str">
        <f>"601922576"</f>
        <v>601922576</v>
      </c>
      <c r="O321" t="s">
        <v>1217</v>
      </c>
      <c r="P321" t="s">
        <v>24</v>
      </c>
    </row>
    <row r="322" spans="1:16" hidden="1" x14ac:dyDescent="0.25">
      <c r="A322">
        <v>270084</v>
      </c>
      <c r="B322" t="str">
        <f>"382022818"</f>
        <v>382022818</v>
      </c>
      <c r="C322" t="s">
        <v>16</v>
      </c>
      <c r="D322" t="s">
        <v>1218</v>
      </c>
      <c r="E322" t="s">
        <v>112</v>
      </c>
      <c r="F322" t="s">
        <v>113</v>
      </c>
      <c r="G322" t="s">
        <v>113</v>
      </c>
      <c r="H322" t="s">
        <v>113</v>
      </c>
      <c r="I322" t="s">
        <v>30</v>
      </c>
      <c r="J322" t="s">
        <v>1219</v>
      </c>
      <c r="K322" t="str">
        <f>"74a"</f>
        <v>74a</v>
      </c>
      <c r="L322" t="str">
        <f>""</f>
        <v/>
      </c>
      <c r="M322" t="str">
        <f>"20-013"</f>
        <v>20-013</v>
      </c>
      <c r="N322" t="str">
        <f>"510600866"</f>
        <v>510600866</v>
      </c>
      <c r="O322" t="s">
        <v>1220</v>
      </c>
      <c r="P322" t="s">
        <v>24</v>
      </c>
    </row>
    <row r="323" spans="1:16" hidden="1" x14ac:dyDescent="0.25">
      <c r="A323">
        <v>23894</v>
      </c>
      <c r="B323" t="str">
        <f>"021983785"</f>
        <v>021983785</v>
      </c>
      <c r="C323" t="s">
        <v>16</v>
      </c>
      <c r="D323" t="s">
        <v>1221</v>
      </c>
      <c r="E323" t="s">
        <v>64</v>
      </c>
      <c r="F323" t="s">
        <v>255</v>
      </c>
      <c r="G323" t="s">
        <v>1222</v>
      </c>
      <c r="H323" t="s">
        <v>1222</v>
      </c>
      <c r="I323" t="s">
        <v>42</v>
      </c>
      <c r="J323" t="s">
        <v>1223</v>
      </c>
      <c r="K323" t="str">
        <f>"6a"</f>
        <v>6a</v>
      </c>
      <c r="L323" t="str">
        <f>""</f>
        <v/>
      </c>
      <c r="M323" t="str">
        <f>"50-001"</f>
        <v>50-001</v>
      </c>
      <c r="N323" t="str">
        <f>"717959220"</f>
        <v>717959220</v>
      </c>
      <c r="O323" t="s">
        <v>1224</v>
      </c>
      <c r="P323" t="s">
        <v>24</v>
      </c>
    </row>
    <row r="324" spans="1:16" hidden="1" x14ac:dyDescent="0.25">
      <c r="A324">
        <v>64757</v>
      </c>
      <c r="B324" t="str">
        <f>"221769821"</f>
        <v>221769821</v>
      </c>
      <c r="C324" t="s">
        <v>16</v>
      </c>
      <c r="D324" t="s">
        <v>1225</v>
      </c>
      <c r="E324" t="s">
        <v>80</v>
      </c>
      <c r="F324" t="s">
        <v>833</v>
      </c>
      <c r="G324" t="s">
        <v>1226</v>
      </c>
      <c r="H324" t="s">
        <v>1226</v>
      </c>
      <c r="I324" t="s">
        <v>30</v>
      </c>
      <c r="J324" t="s">
        <v>188</v>
      </c>
      <c r="K324" t="str">
        <f>"112"</f>
        <v>112</v>
      </c>
      <c r="L324" t="str">
        <f>"114"</f>
        <v>114</v>
      </c>
      <c r="M324" t="str">
        <f>"83-200"</f>
        <v>83-200</v>
      </c>
      <c r="N324" t="str">
        <f>"585620265"</f>
        <v>585620265</v>
      </c>
      <c r="P324" t="s">
        <v>24</v>
      </c>
    </row>
    <row r="325" spans="1:16" hidden="1" x14ac:dyDescent="0.25">
      <c r="A325">
        <v>126221</v>
      </c>
      <c r="B325" t="str">
        <f>"360177573"</f>
        <v>360177573</v>
      </c>
      <c r="C325" t="s">
        <v>16</v>
      </c>
      <c r="D325" t="s">
        <v>1227</v>
      </c>
      <c r="E325" t="s">
        <v>18</v>
      </c>
      <c r="F325" t="s">
        <v>19</v>
      </c>
      <c r="G325" t="s">
        <v>149</v>
      </c>
      <c r="H325" t="s">
        <v>149</v>
      </c>
      <c r="I325" t="s">
        <v>21</v>
      </c>
      <c r="J325" t="s">
        <v>1228</v>
      </c>
      <c r="K325" t="str">
        <f>"19D"</f>
        <v>19D</v>
      </c>
      <c r="L325" t="str">
        <f>""</f>
        <v/>
      </c>
      <c r="M325" t="str">
        <f>"03-289"</f>
        <v>03-289</v>
      </c>
      <c r="N325" t="str">
        <f>"505985966"</f>
        <v>505985966</v>
      </c>
      <c r="P325" t="s">
        <v>24</v>
      </c>
    </row>
    <row r="326" spans="1:16" hidden="1" x14ac:dyDescent="0.25">
      <c r="A326">
        <v>131532</v>
      </c>
      <c r="B326" t="str">
        <f>"365222960"</f>
        <v>365222960</v>
      </c>
      <c r="C326" t="s">
        <v>16</v>
      </c>
      <c r="D326" t="s">
        <v>1229</v>
      </c>
      <c r="E326" t="s">
        <v>18</v>
      </c>
      <c r="F326" t="s">
        <v>451</v>
      </c>
      <c r="G326" t="s">
        <v>1230</v>
      </c>
      <c r="H326" t="s">
        <v>1230</v>
      </c>
      <c r="I326" t="s">
        <v>30</v>
      </c>
      <c r="J326" t="s">
        <v>1093</v>
      </c>
      <c r="K326" t="str">
        <f>"4"</f>
        <v>4</v>
      </c>
      <c r="L326" t="str">
        <f>""</f>
        <v/>
      </c>
      <c r="M326" t="str">
        <f>"05-250"</f>
        <v>05-250</v>
      </c>
      <c r="N326" t="str">
        <f>"575824334"</f>
        <v>575824334</v>
      </c>
      <c r="O326" t="s">
        <v>1231</v>
      </c>
      <c r="P326" t="s">
        <v>24</v>
      </c>
    </row>
    <row r="327" spans="1:16" hidden="1" x14ac:dyDescent="0.25">
      <c r="A327">
        <v>279482</v>
      </c>
      <c r="B327" t="str">
        <f>"521621351"</f>
        <v>521621351</v>
      </c>
      <c r="C327" t="s">
        <v>16</v>
      </c>
      <c r="D327" t="s">
        <v>1232</v>
      </c>
      <c r="E327" t="s">
        <v>389</v>
      </c>
      <c r="F327" t="s">
        <v>447</v>
      </c>
      <c r="G327" t="s">
        <v>447</v>
      </c>
      <c r="H327" t="s">
        <v>447</v>
      </c>
      <c r="I327" t="s">
        <v>30</v>
      </c>
      <c r="J327" t="s">
        <v>1233</v>
      </c>
      <c r="K327" t="str">
        <f>"27"</f>
        <v>27</v>
      </c>
      <c r="L327" t="str">
        <f>""</f>
        <v/>
      </c>
      <c r="M327" t="str">
        <f>"10-450"</f>
        <v>10-450</v>
      </c>
      <c r="N327" t="str">
        <f>"660667611"</f>
        <v>660667611</v>
      </c>
      <c r="O327" t="s">
        <v>1234</v>
      </c>
      <c r="P327" t="s">
        <v>24</v>
      </c>
    </row>
    <row r="328" spans="1:16" hidden="1" x14ac:dyDescent="0.25">
      <c r="A328">
        <v>133752</v>
      </c>
      <c r="B328" t="str">
        <f>"367593688"</f>
        <v>367593688</v>
      </c>
      <c r="C328" t="s">
        <v>16</v>
      </c>
      <c r="D328" t="s">
        <v>1232</v>
      </c>
      <c r="E328" t="s">
        <v>27</v>
      </c>
      <c r="F328" t="s">
        <v>1235</v>
      </c>
      <c r="G328" t="s">
        <v>1236</v>
      </c>
      <c r="H328" t="s">
        <v>1236</v>
      </c>
      <c r="I328" t="s">
        <v>30</v>
      </c>
      <c r="J328" t="s">
        <v>1237</v>
      </c>
      <c r="K328" t="str">
        <f>"17a"</f>
        <v>17a</v>
      </c>
      <c r="L328" t="str">
        <f>""</f>
        <v/>
      </c>
      <c r="M328" t="str">
        <f>"34-120"</f>
        <v>34-120</v>
      </c>
      <c r="N328" t="str">
        <f>"889436119"</f>
        <v>889436119</v>
      </c>
      <c r="O328" t="s">
        <v>1238</v>
      </c>
      <c r="P328" t="s">
        <v>24</v>
      </c>
    </row>
    <row r="329" spans="1:16" hidden="1" x14ac:dyDescent="0.25">
      <c r="A329">
        <v>278613</v>
      </c>
      <c r="B329" t="str">
        <f>"389993933"</f>
        <v>389993933</v>
      </c>
      <c r="C329" t="s">
        <v>16</v>
      </c>
      <c r="D329" t="s">
        <v>1232</v>
      </c>
      <c r="E329" t="s">
        <v>117</v>
      </c>
      <c r="F329" t="s">
        <v>1210</v>
      </c>
      <c r="G329" t="s">
        <v>1214</v>
      </c>
      <c r="H329" t="s">
        <v>1214</v>
      </c>
      <c r="I329" t="s">
        <v>30</v>
      </c>
      <c r="J329" t="s">
        <v>238</v>
      </c>
      <c r="K329" t="str">
        <f>"5"</f>
        <v>5</v>
      </c>
      <c r="L329" t="str">
        <f>""</f>
        <v/>
      </c>
      <c r="M329" t="str">
        <f>"42-660"</f>
        <v>42-660</v>
      </c>
      <c r="N329" t="str">
        <f>"534572178"</f>
        <v>534572178</v>
      </c>
      <c r="O329" t="s">
        <v>1239</v>
      </c>
      <c r="P329" t="s">
        <v>24</v>
      </c>
    </row>
    <row r="330" spans="1:16" hidden="1" x14ac:dyDescent="0.25">
      <c r="A330">
        <v>27932</v>
      </c>
      <c r="B330" t="str">
        <f>"122681250"</f>
        <v>122681250</v>
      </c>
      <c r="C330" t="s">
        <v>16</v>
      </c>
      <c r="D330" t="s">
        <v>1241</v>
      </c>
      <c r="E330" t="s">
        <v>27</v>
      </c>
      <c r="F330" t="s">
        <v>1242</v>
      </c>
      <c r="G330" t="s">
        <v>1243</v>
      </c>
      <c r="H330" t="s">
        <v>1243</v>
      </c>
      <c r="I330" t="s">
        <v>30</v>
      </c>
      <c r="J330" t="s">
        <v>1244</v>
      </c>
      <c r="K330" t="str">
        <f>"24"</f>
        <v>24</v>
      </c>
      <c r="L330" t="str">
        <f>""</f>
        <v/>
      </c>
      <c r="M330" t="str">
        <f>"38-300"</f>
        <v>38-300</v>
      </c>
      <c r="N330" t="str">
        <f>"502074164"</f>
        <v>502074164</v>
      </c>
      <c r="O330" t="s">
        <v>1245</v>
      </c>
      <c r="P330" t="s">
        <v>24</v>
      </c>
    </row>
    <row r="331" spans="1:16" hidden="1" x14ac:dyDescent="0.25">
      <c r="A331">
        <v>131748</v>
      </c>
      <c r="B331" t="str">
        <f>"365340233"</f>
        <v>365340233</v>
      </c>
      <c r="C331" t="s">
        <v>16</v>
      </c>
      <c r="D331" t="s">
        <v>1246</v>
      </c>
      <c r="E331" t="s">
        <v>240</v>
      </c>
      <c r="F331" t="s">
        <v>783</v>
      </c>
      <c r="G331" t="s">
        <v>784</v>
      </c>
      <c r="H331" t="s">
        <v>784</v>
      </c>
      <c r="I331" t="s">
        <v>30</v>
      </c>
      <c r="J331" t="s">
        <v>1247</v>
      </c>
      <c r="K331" t="str">
        <f>"16"</f>
        <v>16</v>
      </c>
      <c r="L331" t="str">
        <f>""</f>
        <v/>
      </c>
      <c r="M331" t="str">
        <f>"68-200"</f>
        <v>68-200</v>
      </c>
      <c r="N331" t="str">
        <f>"684521368"</f>
        <v>684521368</v>
      </c>
      <c r="P331" t="s">
        <v>24</v>
      </c>
    </row>
    <row r="332" spans="1:16" hidden="1" x14ac:dyDescent="0.25">
      <c r="A332">
        <v>129836</v>
      </c>
      <c r="B332" t="str">
        <f>"362973720"</f>
        <v>362973720</v>
      </c>
      <c r="C332" t="s">
        <v>16</v>
      </c>
      <c r="D332" t="s">
        <v>1248</v>
      </c>
      <c r="E332" t="s">
        <v>18</v>
      </c>
      <c r="F332" t="s">
        <v>19</v>
      </c>
      <c r="G332" t="s">
        <v>273</v>
      </c>
      <c r="H332" t="s">
        <v>273</v>
      </c>
      <c r="I332" t="s">
        <v>21</v>
      </c>
      <c r="J332" t="s">
        <v>1249</v>
      </c>
      <c r="K332" t="str">
        <f>"183"</f>
        <v>183</v>
      </c>
      <c r="L332" t="str">
        <f>"90"</f>
        <v>90</v>
      </c>
      <c r="M332" t="str">
        <f>"01-479"</f>
        <v>01-479</v>
      </c>
      <c r="N332" t="str">
        <f>"608528806"</f>
        <v>608528806</v>
      </c>
      <c r="O332" t="s">
        <v>1250</v>
      </c>
      <c r="P332" t="s">
        <v>24</v>
      </c>
    </row>
    <row r="333" spans="1:16" hidden="1" x14ac:dyDescent="0.25">
      <c r="A333">
        <v>68395</v>
      </c>
      <c r="B333" t="str">
        <f>"101491178"</f>
        <v>101491178</v>
      </c>
      <c r="C333" t="s">
        <v>16</v>
      </c>
      <c r="D333" t="s">
        <v>1251</v>
      </c>
      <c r="E333" t="s">
        <v>39</v>
      </c>
      <c r="F333" t="s">
        <v>40</v>
      </c>
      <c r="G333" t="s">
        <v>1252</v>
      </c>
      <c r="H333" t="s">
        <v>1252</v>
      </c>
      <c r="I333" t="s">
        <v>42</v>
      </c>
      <c r="J333" t="s">
        <v>1219</v>
      </c>
      <c r="K333" t="str">
        <f>"7/9"</f>
        <v>7/9</v>
      </c>
      <c r="L333" t="str">
        <f>""</f>
        <v/>
      </c>
      <c r="M333" t="str">
        <f>"90-117"</f>
        <v>90-117</v>
      </c>
      <c r="N333" t="str">
        <f>"422011831"</f>
        <v>422011831</v>
      </c>
      <c r="O333" t="s">
        <v>1253</v>
      </c>
      <c r="P333" t="s">
        <v>24</v>
      </c>
    </row>
    <row r="334" spans="1:16" hidden="1" x14ac:dyDescent="0.25">
      <c r="A334">
        <v>278597</v>
      </c>
      <c r="B334" t="str">
        <f>"389994186"</f>
        <v>389994186</v>
      </c>
      <c r="C334" t="s">
        <v>16</v>
      </c>
      <c r="D334" t="s">
        <v>1254</v>
      </c>
      <c r="E334" t="s">
        <v>64</v>
      </c>
      <c r="F334" t="s">
        <v>358</v>
      </c>
      <c r="G334" t="s">
        <v>359</v>
      </c>
      <c r="H334" t="s">
        <v>359</v>
      </c>
      <c r="I334" t="s">
        <v>30</v>
      </c>
      <c r="J334" t="s">
        <v>1255</v>
      </c>
      <c r="K334" t="str">
        <f>"4"</f>
        <v>4</v>
      </c>
      <c r="L334" t="str">
        <f>""</f>
        <v/>
      </c>
      <c r="M334" t="str">
        <f>"57-300"</f>
        <v>57-300</v>
      </c>
      <c r="N334" t="str">
        <f>"662553033"</f>
        <v>662553033</v>
      </c>
      <c r="O334" t="s">
        <v>1256</v>
      </c>
      <c r="P334" t="s">
        <v>24</v>
      </c>
    </row>
    <row r="335" spans="1:16" hidden="1" x14ac:dyDescent="0.25">
      <c r="A335">
        <v>31892</v>
      </c>
      <c r="B335" t="str">
        <f>"302246010"</f>
        <v>302246010</v>
      </c>
      <c r="C335" t="s">
        <v>16</v>
      </c>
      <c r="D335" t="s">
        <v>1258</v>
      </c>
      <c r="E335" t="s">
        <v>157</v>
      </c>
      <c r="F335" t="s">
        <v>158</v>
      </c>
      <c r="G335" t="s">
        <v>787</v>
      </c>
      <c r="H335" t="s">
        <v>787</v>
      </c>
      <c r="I335" t="s">
        <v>42</v>
      </c>
      <c r="J335" t="s">
        <v>1259</v>
      </c>
      <c r="K335" t="str">
        <f>"22"</f>
        <v>22</v>
      </c>
      <c r="L335" t="str">
        <f>""</f>
        <v/>
      </c>
      <c r="M335" t="str">
        <f>"60-175"</f>
        <v>60-175</v>
      </c>
      <c r="N335" t="str">
        <f>"509445939"</f>
        <v>509445939</v>
      </c>
      <c r="O335" t="s">
        <v>1260</v>
      </c>
      <c r="P335" t="s">
        <v>24</v>
      </c>
    </row>
    <row r="336" spans="1:16" hidden="1" x14ac:dyDescent="0.25">
      <c r="A336">
        <v>479459</v>
      </c>
      <c r="B336" t="str">
        <f>"523548718"</f>
        <v>523548718</v>
      </c>
      <c r="C336" t="s">
        <v>16</v>
      </c>
      <c r="D336" t="s">
        <v>1262</v>
      </c>
      <c r="E336" t="s">
        <v>18</v>
      </c>
      <c r="F336" t="s">
        <v>1137</v>
      </c>
      <c r="G336" t="s">
        <v>1263</v>
      </c>
      <c r="H336" t="s">
        <v>1263</v>
      </c>
      <c r="I336" t="s">
        <v>30</v>
      </c>
      <c r="J336" t="s">
        <v>1264</v>
      </c>
      <c r="K336" t="str">
        <f>"26"</f>
        <v>26</v>
      </c>
      <c r="L336" t="str">
        <f>""</f>
        <v/>
      </c>
      <c r="M336" t="str">
        <f>"05-092"</f>
        <v>05-092</v>
      </c>
      <c r="N336" t="str">
        <f>"605112634"</f>
        <v>605112634</v>
      </c>
      <c r="O336" t="s">
        <v>1265</v>
      </c>
      <c r="P336" t="s">
        <v>24</v>
      </c>
    </row>
    <row r="337" spans="1:16" hidden="1" x14ac:dyDescent="0.25">
      <c r="A337">
        <v>131247</v>
      </c>
      <c r="B337" t="str">
        <f>"365063199"</f>
        <v>365063199</v>
      </c>
      <c r="C337" t="s">
        <v>16</v>
      </c>
      <c r="D337" t="s">
        <v>1266</v>
      </c>
      <c r="E337" t="s">
        <v>39</v>
      </c>
      <c r="F337" t="s">
        <v>1267</v>
      </c>
      <c r="G337" t="s">
        <v>1268</v>
      </c>
      <c r="H337" t="s">
        <v>1268</v>
      </c>
      <c r="I337" t="s">
        <v>30</v>
      </c>
      <c r="J337" t="s">
        <v>1269</v>
      </c>
      <c r="K337" t="str">
        <f>"4a"</f>
        <v>4a</v>
      </c>
      <c r="L337" t="str">
        <f>""</f>
        <v/>
      </c>
      <c r="M337" t="str">
        <f>"98-200"</f>
        <v>98-200</v>
      </c>
      <c r="N337" t="str">
        <f>"511010322"</f>
        <v>511010322</v>
      </c>
      <c r="O337" t="s">
        <v>1270</v>
      </c>
      <c r="P337" t="s">
        <v>24</v>
      </c>
    </row>
    <row r="338" spans="1:16" hidden="1" x14ac:dyDescent="0.25">
      <c r="A338">
        <v>268440</v>
      </c>
      <c r="B338" t="str">
        <f>"381163570"</f>
        <v>381163570</v>
      </c>
      <c r="C338" t="s">
        <v>16</v>
      </c>
      <c r="D338" t="s">
        <v>1271</v>
      </c>
      <c r="E338" t="s">
        <v>181</v>
      </c>
      <c r="F338" t="s">
        <v>437</v>
      </c>
      <c r="G338" t="s">
        <v>437</v>
      </c>
      <c r="H338" t="s">
        <v>437</v>
      </c>
      <c r="I338" t="s">
        <v>30</v>
      </c>
      <c r="J338" t="s">
        <v>1272</v>
      </c>
      <c r="K338" t="str">
        <f>"3"</f>
        <v>3</v>
      </c>
      <c r="L338" t="str">
        <f>""</f>
        <v/>
      </c>
      <c r="M338" t="str">
        <f>"85-309"</f>
        <v>85-309</v>
      </c>
      <c r="N338" t="str">
        <f>"515207111"</f>
        <v>515207111</v>
      </c>
      <c r="O338" t="s">
        <v>1273</v>
      </c>
      <c r="P338" t="s">
        <v>24</v>
      </c>
    </row>
    <row r="339" spans="1:16" hidden="1" x14ac:dyDescent="0.25">
      <c r="A339">
        <v>11269</v>
      </c>
      <c r="B339" t="str">
        <f>"341324566"</f>
        <v>341324566</v>
      </c>
      <c r="C339" t="s">
        <v>16</v>
      </c>
      <c r="D339" t="s">
        <v>1274</v>
      </c>
      <c r="E339" t="s">
        <v>181</v>
      </c>
      <c r="F339" t="s">
        <v>1275</v>
      </c>
      <c r="G339" t="s">
        <v>1276</v>
      </c>
      <c r="H339" t="s">
        <v>1276</v>
      </c>
      <c r="I339" t="s">
        <v>68</v>
      </c>
      <c r="J339" t="s">
        <v>1277</v>
      </c>
      <c r="K339" t="str">
        <f>"4"</f>
        <v>4</v>
      </c>
      <c r="L339" t="str">
        <f>""</f>
        <v/>
      </c>
      <c r="M339" t="str">
        <f>"86-031"</f>
        <v>86-031</v>
      </c>
      <c r="N339" t="str">
        <f>"502524626"</f>
        <v>502524626</v>
      </c>
      <c r="O339" t="s">
        <v>1278</v>
      </c>
      <c r="P339" t="s">
        <v>24</v>
      </c>
    </row>
    <row r="340" spans="1:16" hidden="1" x14ac:dyDescent="0.25">
      <c r="A340">
        <v>480741</v>
      </c>
      <c r="B340" t="str">
        <f>"526307910"</f>
        <v>526307910</v>
      </c>
      <c r="C340" t="s">
        <v>16</v>
      </c>
      <c r="D340" t="s">
        <v>1279</v>
      </c>
      <c r="E340" t="s">
        <v>64</v>
      </c>
      <c r="F340" t="s">
        <v>255</v>
      </c>
      <c r="G340" t="s">
        <v>269</v>
      </c>
      <c r="H340" t="s">
        <v>269</v>
      </c>
      <c r="I340" t="s">
        <v>42</v>
      </c>
      <c r="J340" t="s">
        <v>1280</v>
      </c>
      <c r="K340" t="str">
        <f>"33-35a"</f>
        <v>33-35a</v>
      </c>
      <c r="L340" t="str">
        <f>""</f>
        <v/>
      </c>
      <c r="M340" t="str">
        <f>"50-207"</f>
        <v>50-207</v>
      </c>
      <c r="N340" t="str">
        <f>"798961245"</f>
        <v>798961245</v>
      </c>
      <c r="O340" t="s">
        <v>1281</v>
      </c>
      <c r="P340" t="s">
        <v>24</v>
      </c>
    </row>
    <row r="341" spans="1:16" hidden="1" x14ac:dyDescent="0.25">
      <c r="A341">
        <v>268783</v>
      </c>
      <c r="B341" t="str">
        <f>"381256359"</f>
        <v>381256359</v>
      </c>
      <c r="C341" t="s">
        <v>16</v>
      </c>
      <c r="D341" t="s">
        <v>1282</v>
      </c>
      <c r="E341" t="s">
        <v>64</v>
      </c>
      <c r="F341" t="s">
        <v>255</v>
      </c>
      <c r="G341" t="s">
        <v>269</v>
      </c>
      <c r="H341" t="s">
        <v>269</v>
      </c>
      <c r="I341" t="s">
        <v>42</v>
      </c>
      <c r="J341" t="s">
        <v>1283</v>
      </c>
      <c r="K341" t="str">
        <f>"43"</f>
        <v>43</v>
      </c>
      <c r="L341" t="str">
        <f>"1"</f>
        <v>1</v>
      </c>
      <c r="M341" t="str">
        <f>"50-361"</f>
        <v>50-361</v>
      </c>
      <c r="N341" t="str">
        <f>"601656911"</f>
        <v>601656911</v>
      </c>
      <c r="O341" t="s">
        <v>1284</v>
      </c>
      <c r="P341" t="s">
        <v>24</v>
      </c>
    </row>
    <row r="342" spans="1:16" hidden="1" x14ac:dyDescent="0.25">
      <c r="A342">
        <v>478599</v>
      </c>
      <c r="B342" t="str">
        <f>"522930338"</f>
        <v>522930338</v>
      </c>
      <c r="C342" t="s">
        <v>16</v>
      </c>
      <c r="D342" t="s">
        <v>1286</v>
      </c>
      <c r="E342" t="s">
        <v>27</v>
      </c>
      <c r="F342" t="s">
        <v>200</v>
      </c>
      <c r="G342" t="s">
        <v>187</v>
      </c>
      <c r="H342" t="s">
        <v>1287</v>
      </c>
      <c r="I342" t="s">
        <v>68</v>
      </c>
      <c r="J342" t="s">
        <v>1288</v>
      </c>
      <c r="K342" t="str">
        <f>"3"</f>
        <v>3</v>
      </c>
      <c r="L342" t="str">
        <f>""</f>
        <v/>
      </c>
      <c r="M342" t="str">
        <f>"33-113"</f>
        <v>33-113</v>
      </c>
      <c r="N342" t="str">
        <f>"794423262"</f>
        <v>794423262</v>
      </c>
      <c r="O342" t="s">
        <v>1289</v>
      </c>
      <c r="P342" t="s">
        <v>24</v>
      </c>
    </row>
    <row r="343" spans="1:16" hidden="1" x14ac:dyDescent="0.25">
      <c r="A343">
        <v>132986</v>
      </c>
      <c r="B343" t="str">
        <f>"366438833"</f>
        <v>366438833</v>
      </c>
      <c r="C343" t="s">
        <v>16</v>
      </c>
      <c r="D343" t="s">
        <v>1290</v>
      </c>
      <c r="E343" t="s">
        <v>39</v>
      </c>
      <c r="F343" t="s">
        <v>334</v>
      </c>
      <c r="G343" t="s">
        <v>334</v>
      </c>
      <c r="H343" t="s">
        <v>334</v>
      </c>
      <c r="I343" t="s">
        <v>30</v>
      </c>
      <c r="J343" t="s">
        <v>1139</v>
      </c>
      <c r="K343" t="str">
        <f>"30b"</f>
        <v>30b</v>
      </c>
      <c r="L343" t="str">
        <f>"62"</f>
        <v>62</v>
      </c>
      <c r="M343" t="str">
        <f>"97-300"</f>
        <v>97-300</v>
      </c>
      <c r="N343" t="str">
        <f>"693700997"</f>
        <v>693700997</v>
      </c>
      <c r="O343" t="s">
        <v>1291</v>
      </c>
      <c r="P343" t="s">
        <v>24</v>
      </c>
    </row>
    <row r="344" spans="1:16" hidden="1" x14ac:dyDescent="0.25">
      <c r="A344">
        <v>129382</v>
      </c>
      <c r="B344" t="str">
        <f>"362576372"</f>
        <v>362576372</v>
      </c>
      <c r="C344" t="s">
        <v>16</v>
      </c>
      <c r="D344" t="s">
        <v>1292</v>
      </c>
      <c r="E344" t="s">
        <v>18</v>
      </c>
      <c r="F344" t="s">
        <v>19</v>
      </c>
      <c r="G344" t="s">
        <v>405</v>
      </c>
      <c r="H344" t="s">
        <v>405</v>
      </c>
      <c r="I344" t="s">
        <v>21</v>
      </c>
      <c r="J344" t="s">
        <v>691</v>
      </c>
      <c r="K344" t="str">
        <f>"235"</f>
        <v>235</v>
      </c>
      <c r="L344" t="str">
        <f>"1"</f>
        <v>1</v>
      </c>
      <c r="M344" t="str">
        <f>"04-001"</f>
        <v>04-001</v>
      </c>
      <c r="N344" t="str">
        <f>"882584128"</f>
        <v>882584128</v>
      </c>
      <c r="O344" t="s">
        <v>1293</v>
      </c>
      <c r="P344" t="s">
        <v>24</v>
      </c>
    </row>
    <row r="345" spans="1:16" hidden="1" x14ac:dyDescent="0.25">
      <c r="A345">
        <v>279010</v>
      </c>
      <c r="B345" t="str">
        <f>"520402411"</f>
        <v>520402411</v>
      </c>
      <c r="C345" t="s">
        <v>16</v>
      </c>
      <c r="D345" t="s">
        <v>1294</v>
      </c>
      <c r="E345" t="s">
        <v>74</v>
      </c>
      <c r="F345" t="s">
        <v>1295</v>
      </c>
      <c r="G345" t="s">
        <v>1296</v>
      </c>
      <c r="H345" t="s">
        <v>1296</v>
      </c>
      <c r="I345" t="s">
        <v>30</v>
      </c>
      <c r="J345" t="s">
        <v>1297</v>
      </c>
      <c r="K345" t="str">
        <f>"11"</f>
        <v>11</v>
      </c>
      <c r="L345" t="str">
        <f>"3"</f>
        <v>3</v>
      </c>
      <c r="M345" t="str">
        <f>"26-110"</f>
        <v>26-110</v>
      </c>
      <c r="N345" t="str">
        <f>"790230790"</f>
        <v>790230790</v>
      </c>
      <c r="O345" t="s">
        <v>778</v>
      </c>
      <c r="P345" t="s">
        <v>24</v>
      </c>
    </row>
    <row r="346" spans="1:16" hidden="1" x14ac:dyDescent="0.25">
      <c r="A346">
        <v>268163</v>
      </c>
      <c r="B346" t="str">
        <f>"380990181"</f>
        <v>380990181</v>
      </c>
      <c r="C346" t="s">
        <v>16</v>
      </c>
      <c r="D346" t="s">
        <v>1298</v>
      </c>
      <c r="E346" t="s">
        <v>18</v>
      </c>
      <c r="F346" t="s">
        <v>19</v>
      </c>
      <c r="G346" t="s">
        <v>1299</v>
      </c>
      <c r="H346" t="s">
        <v>1299</v>
      </c>
      <c r="I346" t="s">
        <v>21</v>
      </c>
      <c r="J346" t="s">
        <v>1300</v>
      </c>
      <c r="K346" t="str">
        <f>"27"</f>
        <v>27</v>
      </c>
      <c r="L346" t="str">
        <f>""</f>
        <v/>
      </c>
      <c r="M346" t="str">
        <f>"05-077"</f>
        <v>05-077</v>
      </c>
      <c r="N346" t="str">
        <f>"793663407"</f>
        <v>793663407</v>
      </c>
      <c r="O346" t="s">
        <v>1301</v>
      </c>
      <c r="P346" t="s">
        <v>24</v>
      </c>
    </row>
    <row r="347" spans="1:16" hidden="1" x14ac:dyDescent="0.25">
      <c r="A347">
        <v>279275</v>
      </c>
      <c r="B347" t="str">
        <f>"521092390"</f>
        <v>521092390</v>
      </c>
      <c r="C347" t="s">
        <v>16</v>
      </c>
      <c r="D347" t="s">
        <v>1302</v>
      </c>
      <c r="E347" t="s">
        <v>157</v>
      </c>
      <c r="F347" t="s">
        <v>1303</v>
      </c>
      <c r="G347" t="s">
        <v>1304</v>
      </c>
      <c r="H347" t="s">
        <v>1304</v>
      </c>
      <c r="I347" t="s">
        <v>30</v>
      </c>
      <c r="J347" t="s">
        <v>1305</v>
      </c>
      <c r="K347" t="str">
        <f>"7a"</f>
        <v>7a</v>
      </c>
      <c r="L347" t="str">
        <f>""</f>
        <v/>
      </c>
      <c r="M347" t="str">
        <f>"63-100"</f>
        <v>63-100</v>
      </c>
      <c r="N347" t="str">
        <f>"612839299"</f>
        <v>612839299</v>
      </c>
      <c r="O347" t="s">
        <v>1306</v>
      </c>
      <c r="P347" t="s">
        <v>24</v>
      </c>
    </row>
    <row r="348" spans="1:16" hidden="1" x14ac:dyDescent="0.25">
      <c r="A348">
        <v>39706</v>
      </c>
      <c r="B348" t="str">
        <f>"146376261"</f>
        <v>146376261</v>
      </c>
      <c r="C348" t="s">
        <v>16</v>
      </c>
      <c r="D348" t="s">
        <v>1307</v>
      </c>
      <c r="E348" t="s">
        <v>18</v>
      </c>
      <c r="F348" t="s">
        <v>106</v>
      </c>
      <c r="G348" t="s">
        <v>107</v>
      </c>
      <c r="H348" t="s">
        <v>107</v>
      </c>
      <c r="I348" t="s">
        <v>30</v>
      </c>
      <c r="J348" t="s">
        <v>1308</v>
      </c>
      <c r="K348" t="str">
        <f>"66b"</f>
        <v>66b</v>
      </c>
      <c r="L348" t="str">
        <f>""</f>
        <v/>
      </c>
      <c r="M348" t="str">
        <f>"05-500"</f>
        <v>05-500</v>
      </c>
      <c r="N348" t="str">
        <f>"602507701"</f>
        <v>602507701</v>
      </c>
      <c r="O348" t="s">
        <v>1309</v>
      </c>
      <c r="P348" t="s">
        <v>24</v>
      </c>
    </row>
    <row r="349" spans="1:16" hidden="1" x14ac:dyDescent="0.25">
      <c r="A349">
        <v>269239</v>
      </c>
      <c r="B349" t="str">
        <f>"381410286"</f>
        <v>381410286</v>
      </c>
      <c r="C349" t="s">
        <v>16</v>
      </c>
      <c r="D349" t="s">
        <v>1310</v>
      </c>
      <c r="E349" t="s">
        <v>101</v>
      </c>
      <c r="F349" t="s">
        <v>102</v>
      </c>
      <c r="G349" t="s">
        <v>102</v>
      </c>
      <c r="H349" t="s">
        <v>102</v>
      </c>
      <c r="I349" t="s">
        <v>30</v>
      </c>
      <c r="J349" t="s">
        <v>1311</v>
      </c>
      <c r="K349" t="str">
        <f>"7"</f>
        <v>7</v>
      </c>
      <c r="L349" t="str">
        <f>""</f>
        <v/>
      </c>
      <c r="M349" t="str">
        <f>"35-111"</f>
        <v>35-111</v>
      </c>
      <c r="N349" t="str">
        <f>"601685655"</f>
        <v>601685655</v>
      </c>
      <c r="O349" t="s">
        <v>1312</v>
      </c>
      <c r="P349" t="s">
        <v>24</v>
      </c>
    </row>
    <row r="350" spans="1:16" hidden="1" x14ac:dyDescent="0.25">
      <c r="A350">
        <v>18427</v>
      </c>
      <c r="B350" t="str">
        <f>"061464054"</f>
        <v>061464054</v>
      </c>
      <c r="C350" t="s">
        <v>16</v>
      </c>
      <c r="D350" t="s">
        <v>1313</v>
      </c>
      <c r="E350" t="s">
        <v>112</v>
      </c>
      <c r="F350" t="s">
        <v>113</v>
      </c>
      <c r="G350" t="s">
        <v>113</v>
      </c>
      <c r="H350" t="s">
        <v>113</v>
      </c>
      <c r="I350" t="s">
        <v>30</v>
      </c>
      <c r="J350" t="s">
        <v>1314</v>
      </c>
      <c r="K350" t="str">
        <f>"19"</f>
        <v>19</v>
      </c>
      <c r="L350" t="str">
        <f>""</f>
        <v/>
      </c>
      <c r="M350" t="str">
        <f>"20-552"</f>
        <v>20-552</v>
      </c>
      <c r="N350" t="str">
        <f>"502785008"</f>
        <v>502785008</v>
      </c>
      <c r="O350" t="s">
        <v>1315</v>
      </c>
      <c r="P350" t="s">
        <v>24</v>
      </c>
    </row>
    <row r="351" spans="1:16" hidden="1" x14ac:dyDescent="0.25">
      <c r="A351">
        <v>274912</v>
      </c>
      <c r="B351" t="str">
        <f>"386387971"</f>
        <v>386387971</v>
      </c>
      <c r="C351" t="s">
        <v>16</v>
      </c>
      <c r="D351" t="s">
        <v>1317</v>
      </c>
      <c r="E351" t="s">
        <v>18</v>
      </c>
      <c r="F351" t="s">
        <v>19</v>
      </c>
      <c r="G351" t="s">
        <v>886</v>
      </c>
      <c r="H351" t="s">
        <v>886</v>
      </c>
      <c r="I351" t="s">
        <v>21</v>
      </c>
      <c r="J351" t="s">
        <v>1318</v>
      </c>
      <c r="K351" t="str">
        <f>"2"</f>
        <v>2</v>
      </c>
      <c r="L351" t="str">
        <f>"u3"</f>
        <v>u3</v>
      </c>
      <c r="M351" t="str">
        <f>"00-713"</f>
        <v>00-713</v>
      </c>
      <c r="N351" t="str">
        <f>"514817691"</f>
        <v>514817691</v>
      </c>
      <c r="O351" t="s">
        <v>1319</v>
      </c>
      <c r="P351" t="s">
        <v>24</v>
      </c>
    </row>
    <row r="352" spans="1:16" hidden="1" x14ac:dyDescent="0.25">
      <c r="A352">
        <v>480923</v>
      </c>
      <c r="B352" t="str">
        <f>"526419536"</f>
        <v>526419536</v>
      </c>
      <c r="C352" t="s">
        <v>16</v>
      </c>
      <c r="D352" t="s">
        <v>1320</v>
      </c>
      <c r="E352" t="s">
        <v>34</v>
      </c>
      <c r="F352" t="s">
        <v>35</v>
      </c>
      <c r="G352" t="s">
        <v>35</v>
      </c>
      <c r="H352" t="s">
        <v>35</v>
      </c>
      <c r="I352" t="s">
        <v>30</v>
      </c>
      <c r="J352" t="s">
        <v>1314</v>
      </c>
      <c r="K352" t="str">
        <f>"10"</f>
        <v>10</v>
      </c>
      <c r="L352" t="str">
        <f>"3"</f>
        <v>3</v>
      </c>
      <c r="M352" t="str">
        <f>"71-435"</f>
        <v>71-435</v>
      </c>
      <c r="N352" t="str">
        <f>"727702201"</f>
        <v>727702201</v>
      </c>
      <c r="O352" t="s">
        <v>1321</v>
      </c>
      <c r="P352" t="s">
        <v>24</v>
      </c>
    </row>
    <row r="353" spans="1:16" hidden="1" x14ac:dyDescent="0.25">
      <c r="A353">
        <v>278608</v>
      </c>
      <c r="B353" t="str">
        <f>"389991041"</f>
        <v>389991041</v>
      </c>
      <c r="C353" t="s">
        <v>16</v>
      </c>
      <c r="D353" t="s">
        <v>1322</v>
      </c>
      <c r="E353" t="s">
        <v>157</v>
      </c>
      <c r="F353" t="s">
        <v>158</v>
      </c>
      <c r="G353" t="s">
        <v>877</v>
      </c>
      <c r="H353" t="s">
        <v>877</v>
      </c>
      <c r="I353" t="s">
        <v>42</v>
      </c>
      <c r="J353" t="s">
        <v>1323</v>
      </c>
      <c r="K353" t="str">
        <f>"43"</f>
        <v>43</v>
      </c>
      <c r="L353" t="str">
        <f>""</f>
        <v/>
      </c>
      <c r="M353" t="str">
        <f>"61-294"</f>
        <v>61-294</v>
      </c>
      <c r="N353" t="str">
        <f>"780002279"</f>
        <v>780002279</v>
      </c>
      <c r="O353" t="s">
        <v>1324</v>
      </c>
      <c r="P353" t="s">
        <v>24</v>
      </c>
    </row>
    <row r="354" spans="1:16" hidden="1" x14ac:dyDescent="0.25">
      <c r="A354">
        <v>481276</v>
      </c>
      <c r="B354" t="str">
        <f>"526775685"</f>
        <v>526775685</v>
      </c>
      <c r="C354" t="s">
        <v>16</v>
      </c>
      <c r="D354" t="s">
        <v>1325</v>
      </c>
      <c r="E354" t="s">
        <v>157</v>
      </c>
      <c r="F354" t="s">
        <v>1326</v>
      </c>
      <c r="G354" t="s">
        <v>1327</v>
      </c>
      <c r="H354" t="s">
        <v>1327</v>
      </c>
      <c r="I354" t="s">
        <v>30</v>
      </c>
      <c r="J354" t="s">
        <v>1328</v>
      </c>
      <c r="K354" t="str">
        <f>"16"</f>
        <v>16</v>
      </c>
      <c r="L354" t="str">
        <f>""</f>
        <v/>
      </c>
      <c r="M354" t="str">
        <f>"62-700"</f>
        <v>62-700</v>
      </c>
      <c r="N354" t="str">
        <f>"729666140"</f>
        <v>729666140</v>
      </c>
      <c r="O354" t="s">
        <v>1324</v>
      </c>
      <c r="P354" t="s">
        <v>24</v>
      </c>
    </row>
    <row r="355" spans="1:16" hidden="1" x14ac:dyDescent="0.25">
      <c r="A355">
        <v>479762</v>
      </c>
      <c r="B355" t="str">
        <f>"524270107"</f>
        <v>524270107</v>
      </c>
      <c r="C355" t="s">
        <v>16</v>
      </c>
      <c r="D355" t="s">
        <v>1329</v>
      </c>
      <c r="E355" t="s">
        <v>18</v>
      </c>
      <c r="F355" t="s">
        <v>19</v>
      </c>
      <c r="G355" t="s">
        <v>89</v>
      </c>
      <c r="H355" t="s">
        <v>89</v>
      </c>
      <c r="I355" t="s">
        <v>21</v>
      </c>
      <c r="J355" t="s">
        <v>982</v>
      </c>
      <c r="K355" t="str">
        <f>"27"</f>
        <v>27</v>
      </c>
      <c r="L355" t="str">
        <f>"lu1"</f>
        <v>lu1</v>
      </c>
      <c r="M355" t="str">
        <f>"02-495"</f>
        <v>02-495</v>
      </c>
      <c r="N355" t="str">
        <f>"604400905"</f>
        <v>604400905</v>
      </c>
      <c r="O355" t="s">
        <v>1330</v>
      </c>
      <c r="P355" t="s">
        <v>24</v>
      </c>
    </row>
    <row r="356" spans="1:16" hidden="1" x14ac:dyDescent="0.25">
      <c r="A356">
        <v>480744</v>
      </c>
      <c r="B356" t="str">
        <f>"526291332"</f>
        <v>526291332</v>
      </c>
      <c r="C356" t="s">
        <v>16</v>
      </c>
      <c r="D356" t="s">
        <v>1331</v>
      </c>
      <c r="E356" t="s">
        <v>27</v>
      </c>
      <c r="F356" t="s">
        <v>123</v>
      </c>
      <c r="G356" t="s">
        <v>141</v>
      </c>
      <c r="H356" t="s">
        <v>141</v>
      </c>
      <c r="I356" t="s">
        <v>42</v>
      </c>
      <c r="J356" t="s">
        <v>1332</v>
      </c>
      <c r="K356" t="str">
        <f>"97"</f>
        <v>97</v>
      </c>
      <c r="L356" t="str">
        <f>""</f>
        <v/>
      </c>
      <c r="M356" t="str">
        <f>"30-209"</f>
        <v>30-209</v>
      </c>
      <c r="N356" t="str">
        <f>"124310705"</f>
        <v>124310705</v>
      </c>
      <c r="O356" t="s">
        <v>1333</v>
      </c>
      <c r="P356" t="s">
        <v>24</v>
      </c>
    </row>
    <row r="357" spans="1:16" hidden="1" x14ac:dyDescent="0.25">
      <c r="A357">
        <v>264418</v>
      </c>
      <c r="B357" t="str">
        <f>"368337830"</f>
        <v>368337830</v>
      </c>
      <c r="C357" t="s">
        <v>16</v>
      </c>
      <c r="D357" t="s">
        <v>1334</v>
      </c>
      <c r="E357" t="s">
        <v>80</v>
      </c>
      <c r="F357" t="s">
        <v>339</v>
      </c>
      <c r="G357" t="s">
        <v>339</v>
      </c>
      <c r="H357" t="s">
        <v>339</v>
      </c>
      <c r="I357" t="s">
        <v>30</v>
      </c>
      <c r="J357" t="s">
        <v>1335</v>
      </c>
      <c r="K357" t="str">
        <f>"214"</f>
        <v>214</v>
      </c>
      <c r="L357" t="str">
        <f>""</f>
        <v/>
      </c>
      <c r="M357" t="str">
        <f>"80-122"</f>
        <v>80-122</v>
      </c>
      <c r="N357" t="str">
        <f>"587365400"</f>
        <v>587365400</v>
      </c>
      <c r="O357" t="s">
        <v>1336</v>
      </c>
      <c r="P357" t="s">
        <v>24</v>
      </c>
    </row>
    <row r="358" spans="1:16" hidden="1" x14ac:dyDescent="0.25">
      <c r="A358">
        <v>276399</v>
      </c>
      <c r="B358" t="str">
        <f>"387118747"</f>
        <v>387118747</v>
      </c>
      <c r="C358" t="s">
        <v>16</v>
      </c>
      <c r="D358" t="s">
        <v>1337</v>
      </c>
      <c r="E358" t="s">
        <v>39</v>
      </c>
      <c r="F358" t="s">
        <v>50</v>
      </c>
      <c r="G358" t="s">
        <v>51</v>
      </c>
      <c r="H358" t="s">
        <v>51</v>
      </c>
      <c r="I358" t="s">
        <v>30</v>
      </c>
      <c r="J358" t="s">
        <v>1338</v>
      </c>
      <c r="K358" t="str">
        <f>"23"</f>
        <v>23</v>
      </c>
      <c r="L358" t="str">
        <f>""</f>
        <v/>
      </c>
      <c r="M358" t="str">
        <f>"98-220"</f>
        <v>98-220</v>
      </c>
      <c r="N358" t="str">
        <f>"509599420"</f>
        <v>509599420</v>
      </c>
      <c r="O358" t="s">
        <v>1339</v>
      </c>
      <c r="P358" t="s">
        <v>24</v>
      </c>
    </row>
    <row r="359" spans="1:16" hidden="1" x14ac:dyDescent="0.25">
      <c r="A359">
        <v>196362</v>
      </c>
      <c r="B359" t="str">
        <f>"367993519"</f>
        <v>367993519</v>
      </c>
      <c r="C359" t="s">
        <v>16</v>
      </c>
      <c r="D359" t="s">
        <v>1340</v>
      </c>
      <c r="E359" t="s">
        <v>80</v>
      </c>
      <c r="F359" t="s">
        <v>571</v>
      </c>
      <c r="G359" t="s">
        <v>571</v>
      </c>
      <c r="H359" t="s">
        <v>571</v>
      </c>
      <c r="I359" t="s">
        <v>30</v>
      </c>
      <c r="J359" t="s">
        <v>1341</v>
      </c>
      <c r="K359" t="str">
        <f>"4"</f>
        <v>4</v>
      </c>
      <c r="L359" t="str">
        <f>""</f>
        <v/>
      </c>
      <c r="M359" t="str">
        <f>"81-577"</f>
        <v>81-577</v>
      </c>
      <c r="N359" t="str">
        <f>"690608693"</f>
        <v>690608693</v>
      </c>
      <c r="O359" t="s">
        <v>1342</v>
      </c>
      <c r="P359" t="s">
        <v>24</v>
      </c>
    </row>
    <row r="360" spans="1:16" hidden="1" x14ac:dyDescent="0.25">
      <c r="A360">
        <v>118664</v>
      </c>
      <c r="B360" t="str">
        <f>"146812816"</f>
        <v>146812816</v>
      </c>
      <c r="C360" t="s">
        <v>16</v>
      </c>
      <c r="D360" t="s">
        <v>1343</v>
      </c>
      <c r="E360" t="s">
        <v>18</v>
      </c>
      <c r="F360" t="s">
        <v>19</v>
      </c>
      <c r="G360" t="s">
        <v>942</v>
      </c>
      <c r="H360" t="s">
        <v>942</v>
      </c>
      <c r="I360" t="s">
        <v>21</v>
      </c>
      <c r="J360" t="s">
        <v>999</v>
      </c>
      <c r="K360" t="str">
        <f>"10/18"</f>
        <v>10/18</v>
      </c>
      <c r="L360" t="str">
        <f>""</f>
        <v/>
      </c>
      <c r="M360" t="str">
        <f>"03-741"</f>
        <v>03-741</v>
      </c>
      <c r="N360" t="str">
        <f>"662633861"</f>
        <v>662633861</v>
      </c>
      <c r="O360" t="s">
        <v>1344</v>
      </c>
      <c r="P360" t="s">
        <v>24</v>
      </c>
    </row>
    <row r="361" spans="1:16" hidden="1" x14ac:dyDescent="0.25">
      <c r="A361">
        <v>481843</v>
      </c>
      <c r="B361" t="str">
        <f>"528529789"</f>
        <v>528529789</v>
      </c>
      <c r="C361" t="s">
        <v>16</v>
      </c>
      <c r="D361" t="s">
        <v>1346</v>
      </c>
      <c r="E361" t="s">
        <v>157</v>
      </c>
      <c r="F361" t="s">
        <v>158</v>
      </c>
      <c r="G361" t="s">
        <v>877</v>
      </c>
      <c r="H361" t="s">
        <v>877</v>
      </c>
      <c r="I361" t="s">
        <v>42</v>
      </c>
      <c r="J361" t="s">
        <v>1347</v>
      </c>
      <c r="K361" t="str">
        <f>"16"</f>
        <v>16</v>
      </c>
      <c r="L361" t="str">
        <f>""</f>
        <v/>
      </c>
      <c r="M361" t="str">
        <f>"61-131"</f>
        <v>61-131</v>
      </c>
      <c r="N361" t="str">
        <f>"694659554"</f>
        <v>694659554</v>
      </c>
      <c r="O361" t="s">
        <v>1348</v>
      </c>
      <c r="P361" t="s">
        <v>24</v>
      </c>
    </row>
    <row r="362" spans="1:16" hidden="1" x14ac:dyDescent="0.25">
      <c r="A362">
        <v>123128</v>
      </c>
      <c r="B362" t="str">
        <f>"260769644"</f>
        <v>260769644</v>
      </c>
      <c r="C362" t="s">
        <v>16</v>
      </c>
      <c r="D362" t="s">
        <v>1349</v>
      </c>
      <c r="E362" t="s">
        <v>74</v>
      </c>
      <c r="F362" t="s">
        <v>433</v>
      </c>
      <c r="G362" t="s">
        <v>433</v>
      </c>
      <c r="H362" t="s">
        <v>433</v>
      </c>
      <c r="I362" t="s">
        <v>30</v>
      </c>
      <c r="J362" t="s">
        <v>1350</v>
      </c>
      <c r="K362" t="str">
        <f>"40 B"</f>
        <v>40 B</v>
      </c>
      <c r="L362" t="str">
        <f>"2"</f>
        <v>2</v>
      </c>
      <c r="M362" t="str">
        <f>"25-319"</f>
        <v>25-319</v>
      </c>
      <c r="N362" t="str">
        <f>"413156639"</f>
        <v>413156639</v>
      </c>
      <c r="O362" t="s">
        <v>1351</v>
      </c>
      <c r="P362" t="s">
        <v>24</v>
      </c>
    </row>
    <row r="363" spans="1:16" hidden="1" x14ac:dyDescent="0.25">
      <c r="A363">
        <v>123712</v>
      </c>
      <c r="B363" t="str">
        <f>"260784483"</f>
        <v>260784483</v>
      </c>
      <c r="C363" t="s">
        <v>16</v>
      </c>
      <c r="D363" t="s">
        <v>1352</v>
      </c>
      <c r="E363" t="s">
        <v>74</v>
      </c>
      <c r="F363" t="s">
        <v>433</v>
      </c>
      <c r="G363" t="s">
        <v>433</v>
      </c>
      <c r="H363" t="s">
        <v>433</v>
      </c>
      <c r="I363" t="s">
        <v>30</v>
      </c>
      <c r="J363" t="s">
        <v>1353</v>
      </c>
      <c r="K363" t="str">
        <f>"49"</f>
        <v>49</v>
      </c>
      <c r="L363" t="str">
        <f>""</f>
        <v/>
      </c>
      <c r="M363" t="str">
        <f>"25-666"</f>
        <v>25-666</v>
      </c>
      <c r="N363" t="str">
        <f>"531888717"</f>
        <v>531888717</v>
      </c>
      <c r="O363" t="s">
        <v>1354</v>
      </c>
      <c r="P363" t="s">
        <v>24</v>
      </c>
    </row>
    <row r="364" spans="1:16" hidden="1" x14ac:dyDescent="0.25">
      <c r="A364">
        <v>267038</v>
      </c>
      <c r="B364" t="str">
        <f>"369830477"</f>
        <v>369830477</v>
      </c>
      <c r="C364" t="s">
        <v>16</v>
      </c>
      <c r="D364" t="s">
        <v>1355</v>
      </c>
      <c r="E364" t="s">
        <v>181</v>
      </c>
      <c r="F364" t="s">
        <v>437</v>
      </c>
      <c r="G364" t="s">
        <v>437</v>
      </c>
      <c r="H364" t="s">
        <v>437</v>
      </c>
      <c r="I364" t="s">
        <v>30</v>
      </c>
      <c r="J364" t="s">
        <v>1356</v>
      </c>
      <c r="K364" t="str">
        <f>"55"</f>
        <v>55</v>
      </c>
      <c r="L364" t="str">
        <f>""</f>
        <v/>
      </c>
      <c r="M364" t="str">
        <f>"85-864"</f>
        <v>85-864</v>
      </c>
      <c r="N364" t="str">
        <f>"602158894"</f>
        <v>602158894</v>
      </c>
      <c r="O364" t="s">
        <v>1357</v>
      </c>
      <c r="P364" t="s">
        <v>24</v>
      </c>
    </row>
    <row r="365" spans="1:16" hidden="1" x14ac:dyDescent="0.25">
      <c r="A365">
        <v>129878</v>
      </c>
      <c r="B365" t="str">
        <f>"363043672"</f>
        <v>363043672</v>
      </c>
      <c r="C365" t="s">
        <v>16</v>
      </c>
      <c r="D365" t="s">
        <v>1358</v>
      </c>
      <c r="E365" t="s">
        <v>74</v>
      </c>
      <c r="F365" t="s">
        <v>433</v>
      </c>
      <c r="G365" t="s">
        <v>433</v>
      </c>
      <c r="H365" t="s">
        <v>433</v>
      </c>
      <c r="I365" t="s">
        <v>30</v>
      </c>
      <c r="J365" t="s">
        <v>1359</v>
      </c>
      <c r="K365" t="str">
        <f>"20"</f>
        <v>20</v>
      </c>
      <c r="L365" t="str">
        <f>"U13"</f>
        <v>U13</v>
      </c>
      <c r="M365" t="str">
        <f>"25-315"</f>
        <v>25-315</v>
      </c>
      <c r="N365" t="str">
        <f>"413305312"</f>
        <v>413305312</v>
      </c>
      <c r="O365" t="s">
        <v>778</v>
      </c>
      <c r="P365" t="s">
        <v>24</v>
      </c>
    </row>
    <row r="366" spans="1:16" hidden="1" x14ac:dyDescent="0.25">
      <c r="A366">
        <v>265074</v>
      </c>
      <c r="B366" t="str">
        <f>"368583060"</f>
        <v>368583060</v>
      </c>
      <c r="C366" t="s">
        <v>16</v>
      </c>
      <c r="D366" t="s">
        <v>1360</v>
      </c>
      <c r="E366" t="s">
        <v>74</v>
      </c>
      <c r="F366" t="s">
        <v>433</v>
      </c>
      <c r="G366" t="s">
        <v>433</v>
      </c>
      <c r="H366" t="s">
        <v>433</v>
      </c>
      <c r="I366" t="s">
        <v>30</v>
      </c>
      <c r="J366" t="s">
        <v>1361</v>
      </c>
      <c r="K366" t="str">
        <f>"42a"</f>
        <v>42a</v>
      </c>
      <c r="L366" t="str">
        <f>""</f>
        <v/>
      </c>
      <c r="M366" t="str">
        <f>"25-437"</f>
        <v>25-437</v>
      </c>
      <c r="N366" t="str">
        <f>"413323938"</f>
        <v>413323938</v>
      </c>
      <c r="O366" t="s">
        <v>1362</v>
      </c>
      <c r="P366" t="s">
        <v>24</v>
      </c>
    </row>
    <row r="367" spans="1:16" hidden="1" x14ac:dyDescent="0.25">
      <c r="A367">
        <v>276417</v>
      </c>
      <c r="B367" t="str">
        <f>"387141901"</f>
        <v>387141901</v>
      </c>
      <c r="C367" t="s">
        <v>16</v>
      </c>
      <c r="D367" t="s">
        <v>1363</v>
      </c>
      <c r="E367" t="s">
        <v>97</v>
      </c>
      <c r="F367" t="s">
        <v>808</v>
      </c>
      <c r="G367" t="s">
        <v>809</v>
      </c>
      <c r="H367" t="s">
        <v>809</v>
      </c>
      <c r="I367" t="s">
        <v>30</v>
      </c>
      <c r="J367" t="s">
        <v>57</v>
      </c>
      <c r="K367" t="str">
        <f>"73"</f>
        <v>73</v>
      </c>
      <c r="L367" t="str">
        <f>""</f>
        <v/>
      </c>
      <c r="M367" t="str">
        <f>"17-300"</f>
        <v>17-300</v>
      </c>
      <c r="N367" t="str">
        <f>"537009739"</f>
        <v>537009739</v>
      </c>
      <c r="O367" t="s">
        <v>1364</v>
      </c>
      <c r="P367" t="s">
        <v>24</v>
      </c>
    </row>
    <row r="368" spans="1:16" hidden="1" x14ac:dyDescent="0.25">
      <c r="A368">
        <v>276343</v>
      </c>
      <c r="B368" t="str">
        <f>"387105101"</f>
        <v>387105101</v>
      </c>
      <c r="C368" t="s">
        <v>16</v>
      </c>
      <c r="D368" t="s">
        <v>1365</v>
      </c>
      <c r="E368" t="s">
        <v>18</v>
      </c>
      <c r="F368" t="s">
        <v>19</v>
      </c>
      <c r="G368" t="s">
        <v>1299</v>
      </c>
      <c r="H368" t="s">
        <v>1299</v>
      </c>
      <c r="I368" t="s">
        <v>21</v>
      </c>
      <c r="J368" t="s">
        <v>1366</v>
      </c>
      <c r="K368" t="str">
        <f>"2"</f>
        <v>2</v>
      </c>
      <c r="L368" t="str">
        <f>""</f>
        <v/>
      </c>
      <c r="M368" t="str">
        <f>"05-077"</f>
        <v>05-077</v>
      </c>
      <c r="N368" t="str">
        <f>"501228090"</f>
        <v>501228090</v>
      </c>
      <c r="O368" t="s">
        <v>1367</v>
      </c>
      <c r="P368" t="s">
        <v>24</v>
      </c>
    </row>
    <row r="369" spans="1:16" hidden="1" x14ac:dyDescent="0.25">
      <c r="A369">
        <v>119796</v>
      </c>
      <c r="B369" t="str">
        <f>"200806352"</f>
        <v>200806352</v>
      </c>
      <c r="C369" t="s">
        <v>16</v>
      </c>
      <c r="D369" t="s">
        <v>1368</v>
      </c>
      <c r="E369" t="s">
        <v>97</v>
      </c>
      <c r="F369" t="s">
        <v>98</v>
      </c>
      <c r="G369" t="s">
        <v>98</v>
      </c>
      <c r="H369" t="s">
        <v>98</v>
      </c>
      <c r="I369" t="s">
        <v>30</v>
      </c>
      <c r="J369" t="s">
        <v>590</v>
      </c>
      <c r="K369" t="str">
        <f>"15A"</f>
        <v>15A</v>
      </c>
      <c r="L369" t="str">
        <f>""</f>
        <v/>
      </c>
      <c r="M369" t="str">
        <f>"15-809"</f>
        <v>15-809</v>
      </c>
      <c r="N369" t="str">
        <f>"696522163"</f>
        <v>696522163</v>
      </c>
      <c r="O369" t="s">
        <v>1369</v>
      </c>
      <c r="P369" t="s">
        <v>24</v>
      </c>
    </row>
    <row r="370" spans="1:16" hidden="1" x14ac:dyDescent="0.25">
      <c r="A370">
        <v>279073</v>
      </c>
      <c r="B370" t="str">
        <f>"520549657"</f>
        <v>520549657</v>
      </c>
      <c r="C370" t="s">
        <v>16</v>
      </c>
      <c r="D370" t="s">
        <v>1370</v>
      </c>
      <c r="E370" t="s">
        <v>117</v>
      </c>
      <c r="F370" t="s">
        <v>872</v>
      </c>
      <c r="G370" t="s">
        <v>1371</v>
      </c>
      <c r="H370" t="s">
        <v>1371</v>
      </c>
      <c r="I370" t="s">
        <v>30</v>
      </c>
      <c r="J370" t="s">
        <v>1372</v>
      </c>
      <c r="K370" t="str">
        <f>"28"</f>
        <v>28</v>
      </c>
      <c r="L370" t="str">
        <f>""</f>
        <v/>
      </c>
      <c r="M370" t="str">
        <f>"43-190"</f>
        <v>43-190</v>
      </c>
      <c r="N370" t="str">
        <f>"883060677"</f>
        <v>883060677</v>
      </c>
      <c r="O370" t="s">
        <v>1373</v>
      </c>
      <c r="P370" t="s">
        <v>24</v>
      </c>
    </row>
    <row r="371" spans="1:16" hidden="1" x14ac:dyDescent="0.25">
      <c r="A371">
        <v>477976</v>
      </c>
      <c r="B371" t="str">
        <f>"521944380"</f>
        <v>521944380</v>
      </c>
      <c r="C371" t="s">
        <v>16</v>
      </c>
      <c r="D371" t="s">
        <v>1374</v>
      </c>
      <c r="E371" t="s">
        <v>117</v>
      </c>
      <c r="F371" t="s">
        <v>213</v>
      </c>
      <c r="G371" t="s">
        <v>213</v>
      </c>
      <c r="H371" t="s">
        <v>213</v>
      </c>
      <c r="I371" t="s">
        <v>30</v>
      </c>
      <c r="J371" t="s">
        <v>1375</v>
      </c>
      <c r="K371" t="str">
        <f>"10"</f>
        <v>10</v>
      </c>
      <c r="L371" t="str">
        <f>""</f>
        <v/>
      </c>
      <c r="M371" t="str">
        <f>"44-102"</f>
        <v>44-102</v>
      </c>
      <c r="N371" t="str">
        <f>"505098653"</f>
        <v>505098653</v>
      </c>
      <c r="O371" t="s">
        <v>1376</v>
      </c>
      <c r="P371" t="s">
        <v>24</v>
      </c>
    </row>
    <row r="372" spans="1:16" hidden="1" x14ac:dyDescent="0.25">
      <c r="A372">
        <v>131672</v>
      </c>
      <c r="B372" t="str">
        <f>"365338153"</f>
        <v>365338153</v>
      </c>
      <c r="C372" t="s">
        <v>16</v>
      </c>
      <c r="D372" t="s">
        <v>1377</v>
      </c>
      <c r="E372" t="s">
        <v>80</v>
      </c>
      <c r="F372" t="s">
        <v>1105</v>
      </c>
      <c r="G372" t="s">
        <v>1106</v>
      </c>
      <c r="H372" t="s">
        <v>1106</v>
      </c>
      <c r="I372" t="s">
        <v>30</v>
      </c>
      <c r="J372" t="s">
        <v>1378</v>
      </c>
      <c r="K372" t="str">
        <f>"66"</f>
        <v>66</v>
      </c>
      <c r="L372" t="str">
        <f>""</f>
        <v/>
      </c>
      <c r="M372" t="str">
        <f>"83-000"</f>
        <v>83-000</v>
      </c>
      <c r="N372" t="str">
        <f>"572874875"</f>
        <v>572874875</v>
      </c>
      <c r="O372" t="s">
        <v>1379</v>
      </c>
      <c r="P372" t="s">
        <v>24</v>
      </c>
    </row>
    <row r="373" spans="1:16" hidden="1" x14ac:dyDescent="0.25">
      <c r="A373">
        <v>129180</v>
      </c>
      <c r="B373" t="str">
        <f>"362523074"</f>
        <v>362523074</v>
      </c>
      <c r="C373" t="s">
        <v>16</v>
      </c>
      <c r="D373" t="s">
        <v>1380</v>
      </c>
      <c r="E373" t="s">
        <v>18</v>
      </c>
      <c r="F373" t="s">
        <v>19</v>
      </c>
      <c r="G373" t="s">
        <v>1089</v>
      </c>
      <c r="H373" t="s">
        <v>1089</v>
      </c>
      <c r="I373" t="s">
        <v>21</v>
      </c>
      <c r="J373" t="s">
        <v>1381</v>
      </c>
      <c r="K373" t="str">
        <f>"32"</f>
        <v>32</v>
      </c>
      <c r="L373" t="str">
        <f>""</f>
        <v/>
      </c>
      <c r="M373" t="str">
        <f>"03-995"</f>
        <v>03-995</v>
      </c>
      <c r="N373" t="str">
        <f>""</f>
        <v/>
      </c>
      <c r="O373" t="s">
        <v>1382</v>
      </c>
      <c r="P373" t="s">
        <v>24</v>
      </c>
    </row>
    <row r="374" spans="1:16" hidden="1" x14ac:dyDescent="0.25">
      <c r="A374">
        <v>9698</v>
      </c>
      <c r="B374" t="str">
        <f>"200724499"</f>
        <v>200724499</v>
      </c>
      <c r="C374" t="s">
        <v>16</v>
      </c>
      <c r="D374" t="s">
        <v>1383</v>
      </c>
      <c r="E374" t="s">
        <v>97</v>
      </c>
      <c r="F374" t="s">
        <v>98</v>
      </c>
      <c r="G374" t="s">
        <v>98</v>
      </c>
      <c r="H374" t="s">
        <v>98</v>
      </c>
      <c r="I374" t="s">
        <v>30</v>
      </c>
      <c r="J374" t="s">
        <v>1384</v>
      </c>
      <c r="K374" t="str">
        <f>"12"</f>
        <v>12</v>
      </c>
      <c r="L374" t="str">
        <f>""</f>
        <v/>
      </c>
      <c r="M374" t="str">
        <f>"15-349"</f>
        <v>15-349</v>
      </c>
      <c r="N374" t="str">
        <f>"609052896"</f>
        <v>609052896</v>
      </c>
      <c r="O374" t="s">
        <v>1385</v>
      </c>
      <c r="P374" t="s">
        <v>24</v>
      </c>
    </row>
    <row r="375" spans="1:16" hidden="1" x14ac:dyDescent="0.25">
      <c r="A375">
        <v>275120</v>
      </c>
      <c r="B375" t="str">
        <f>"386590034"</f>
        <v>386590034</v>
      </c>
      <c r="C375" t="s">
        <v>16</v>
      </c>
      <c r="D375" t="s">
        <v>1386</v>
      </c>
      <c r="E375" t="s">
        <v>101</v>
      </c>
      <c r="F375" t="s">
        <v>1387</v>
      </c>
      <c r="G375" t="s">
        <v>1388</v>
      </c>
      <c r="H375" t="s">
        <v>1388</v>
      </c>
      <c r="I375" t="s">
        <v>30</v>
      </c>
      <c r="J375" t="s">
        <v>1389</v>
      </c>
      <c r="K375" t="str">
        <f>"74c"</f>
        <v>74c</v>
      </c>
      <c r="L375" t="str">
        <f>""</f>
        <v/>
      </c>
      <c r="M375" t="str">
        <f>"38-200"</f>
        <v>38-200</v>
      </c>
      <c r="N375" t="str">
        <f>"798808177"</f>
        <v>798808177</v>
      </c>
      <c r="O375" t="s">
        <v>1390</v>
      </c>
      <c r="P375" t="s">
        <v>24</v>
      </c>
    </row>
    <row r="376" spans="1:16" hidden="1" x14ac:dyDescent="0.25">
      <c r="A376">
        <v>16096</v>
      </c>
      <c r="B376" t="str">
        <f>"021968107"</f>
        <v>021968107</v>
      </c>
      <c r="C376" t="s">
        <v>16</v>
      </c>
      <c r="D376" t="s">
        <v>1391</v>
      </c>
      <c r="E376" t="s">
        <v>64</v>
      </c>
      <c r="F376" t="s">
        <v>227</v>
      </c>
      <c r="G376" t="s">
        <v>231</v>
      </c>
      <c r="H376" t="s">
        <v>231</v>
      </c>
      <c r="I376" t="s">
        <v>30</v>
      </c>
      <c r="J376" t="s">
        <v>1283</v>
      </c>
      <c r="K376" t="str">
        <f>"18"</f>
        <v>18</v>
      </c>
      <c r="L376" t="str">
        <f>"S/1"</f>
        <v>S/1</v>
      </c>
      <c r="M376" t="str">
        <f>"58-260"</f>
        <v>58-260</v>
      </c>
      <c r="N376" t="str">
        <f>"07466461722"</f>
        <v>07466461722</v>
      </c>
      <c r="O376" t="s">
        <v>1392</v>
      </c>
      <c r="P376" t="s">
        <v>24</v>
      </c>
    </row>
    <row r="377" spans="1:16" hidden="1" x14ac:dyDescent="0.25">
      <c r="A377">
        <v>269109</v>
      </c>
      <c r="B377" t="str">
        <f>"381370931"</f>
        <v>381370931</v>
      </c>
      <c r="C377" t="s">
        <v>16</v>
      </c>
      <c r="D377" t="s">
        <v>1393</v>
      </c>
      <c r="E377" t="s">
        <v>18</v>
      </c>
      <c r="F377" t="s">
        <v>19</v>
      </c>
      <c r="G377" t="s">
        <v>93</v>
      </c>
      <c r="H377" t="s">
        <v>93</v>
      </c>
      <c r="I377" t="s">
        <v>21</v>
      </c>
      <c r="J377" t="s">
        <v>1394</v>
      </c>
      <c r="K377" t="str">
        <f>"35"</f>
        <v>35</v>
      </c>
      <c r="L377" t="str">
        <f>""</f>
        <v/>
      </c>
      <c r="M377" t="str">
        <f>"01-904"</f>
        <v>01-904</v>
      </c>
      <c r="N377" t="str">
        <f>"602245265"</f>
        <v>602245265</v>
      </c>
      <c r="O377" t="s">
        <v>1395</v>
      </c>
      <c r="P377" t="s">
        <v>24</v>
      </c>
    </row>
    <row r="378" spans="1:16" hidden="1" x14ac:dyDescent="0.25">
      <c r="A378">
        <v>279509</v>
      </c>
      <c r="B378" t="str">
        <f>"521684073"</f>
        <v>521684073</v>
      </c>
      <c r="C378" t="s">
        <v>16</v>
      </c>
      <c r="D378" t="s">
        <v>1396</v>
      </c>
      <c r="E378" t="s">
        <v>74</v>
      </c>
      <c r="F378" t="s">
        <v>433</v>
      </c>
      <c r="G378" t="s">
        <v>433</v>
      </c>
      <c r="H378" t="s">
        <v>433</v>
      </c>
      <c r="I378" t="s">
        <v>30</v>
      </c>
      <c r="J378" t="s">
        <v>1397</v>
      </c>
      <c r="K378" t="str">
        <f>"2"</f>
        <v>2</v>
      </c>
      <c r="L378" t="str">
        <f>""</f>
        <v/>
      </c>
      <c r="M378" t="str">
        <f>"25-661"</f>
        <v>25-661</v>
      </c>
      <c r="N378" t="str">
        <f>"508275181"</f>
        <v>508275181</v>
      </c>
      <c r="O378" t="s">
        <v>1398</v>
      </c>
      <c r="P378" t="s">
        <v>24</v>
      </c>
    </row>
    <row r="379" spans="1:16" hidden="1" x14ac:dyDescent="0.25">
      <c r="A379">
        <v>481243</v>
      </c>
      <c r="B379" t="str">
        <f>"526673223"</f>
        <v>526673223</v>
      </c>
      <c r="C379" t="s">
        <v>16</v>
      </c>
      <c r="D379" t="s">
        <v>1399</v>
      </c>
      <c r="E379" t="s">
        <v>74</v>
      </c>
      <c r="F379" t="s">
        <v>433</v>
      </c>
      <c r="G379" t="s">
        <v>433</v>
      </c>
      <c r="H379" t="s">
        <v>433</v>
      </c>
      <c r="I379" t="s">
        <v>30</v>
      </c>
      <c r="J379" t="s">
        <v>1400</v>
      </c>
      <c r="K379" t="str">
        <f>"26A"</f>
        <v>26A</v>
      </c>
      <c r="L379" t="str">
        <f>"U25"</f>
        <v>U25</v>
      </c>
      <c r="M379" t="str">
        <f>"25-220"</f>
        <v>25-220</v>
      </c>
      <c r="N379" t="str">
        <f>"797715332"</f>
        <v>797715332</v>
      </c>
      <c r="O379" t="s">
        <v>1401</v>
      </c>
      <c r="P379" t="s">
        <v>24</v>
      </c>
    </row>
    <row r="380" spans="1:16" hidden="1" x14ac:dyDescent="0.25">
      <c r="A380">
        <v>263462</v>
      </c>
      <c r="B380" t="str">
        <f>"368191526"</f>
        <v>368191526</v>
      </c>
      <c r="C380" t="s">
        <v>16</v>
      </c>
      <c r="D380" t="s">
        <v>1402</v>
      </c>
      <c r="E380" t="s">
        <v>18</v>
      </c>
      <c r="F380" t="s">
        <v>134</v>
      </c>
      <c r="G380" t="s">
        <v>134</v>
      </c>
      <c r="H380" t="s">
        <v>134</v>
      </c>
      <c r="I380" t="s">
        <v>30</v>
      </c>
      <c r="J380" t="s">
        <v>1403</v>
      </c>
      <c r="K380" t="str">
        <f>"30"</f>
        <v>30</v>
      </c>
      <c r="L380" t="str">
        <f>""</f>
        <v/>
      </c>
      <c r="M380" t="str">
        <f>"09-402"</f>
        <v>09-402</v>
      </c>
      <c r="N380" t="str">
        <f>"501211485"</f>
        <v>501211485</v>
      </c>
      <c r="O380" t="s">
        <v>1404</v>
      </c>
      <c r="P380" t="s">
        <v>24</v>
      </c>
    </row>
    <row r="381" spans="1:16" hidden="1" x14ac:dyDescent="0.25">
      <c r="A381">
        <v>269171</v>
      </c>
      <c r="B381" t="str">
        <f>"381392134"</f>
        <v>381392134</v>
      </c>
      <c r="C381" t="s">
        <v>16</v>
      </c>
      <c r="D381" t="s">
        <v>1405</v>
      </c>
      <c r="E381" t="s">
        <v>101</v>
      </c>
      <c r="F381" t="s">
        <v>102</v>
      </c>
      <c r="G381" t="s">
        <v>102</v>
      </c>
      <c r="H381" t="s">
        <v>102</v>
      </c>
      <c r="I381" t="s">
        <v>30</v>
      </c>
      <c r="J381" t="s">
        <v>1406</v>
      </c>
      <c r="K381" t="str">
        <f>"23"</f>
        <v>23</v>
      </c>
      <c r="L381" t="str">
        <f>""</f>
        <v/>
      </c>
      <c r="M381" t="str">
        <f>"35-326"</f>
        <v>35-326</v>
      </c>
      <c r="N381" t="str">
        <f>"729693635"</f>
        <v>729693635</v>
      </c>
      <c r="O381" t="s">
        <v>1407</v>
      </c>
      <c r="P381" t="s">
        <v>24</v>
      </c>
    </row>
    <row r="382" spans="1:16" hidden="1" x14ac:dyDescent="0.25">
      <c r="A382">
        <v>108993</v>
      </c>
      <c r="B382" t="str">
        <f>"321333210"</f>
        <v>321333210</v>
      </c>
      <c r="C382" t="s">
        <v>16</v>
      </c>
      <c r="D382" t="s">
        <v>1410</v>
      </c>
      <c r="E382" t="s">
        <v>34</v>
      </c>
      <c r="F382" t="s">
        <v>35</v>
      </c>
      <c r="G382" t="s">
        <v>35</v>
      </c>
      <c r="H382" t="s">
        <v>35</v>
      </c>
      <c r="I382" t="s">
        <v>30</v>
      </c>
      <c r="J382" t="s">
        <v>1051</v>
      </c>
      <c r="K382" t="str">
        <f>"35"</f>
        <v>35</v>
      </c>
      <c r="L382" t="str">
        <f>"1"</f>
        <v>1</v>
      </c>
      <c r="M382" t="str">
        <f>"70-357"</f>
        <v>70-357</v>
      </c>
      <c r="N382" t="str">
        <f>"914844034"</f>
        <v>914844034</v>
      </c>
      <c r="O382" t="s">
        <v>1411</v>
      </c>
      <c r="P382" t="s">
        <v>24</v>
      </c>
    </row>
    <row r="383" spans="1:16" hidden="1" x14ac:dyDescent="0.25">
      <c r="A383">
        <v>129487</v>
      </c>
      <c r="B383" t="str">
        <f>"362637783"</f>
        <v>362637783</v>
      </c>
      <c r="C383" t="s">
        <v>16</v>
      </c>
      <c r="D383" t="s">
        <v>1412</v>
      </c>
      <c r="E383" t="s">
        <v>34</v>
      </c>
      <c r="F383" t="s">
        <v>421</v>
      </c>
      <c r="G383" t="s">
        <v>421</v>
      </c>
      <c r="H383" t="s">
        <v>421</v>
      </c>
      <c r="I383" t="s">
        <v>30</v>
      </c>
      <c r="J383" t="s">
        <v>396</v>
      </c>
      <c r="K383" t="str">
        <f>"43"</f>
        <v>43</v>
      </c>
      <c r="L383" t="str">
        <f>""</f>
        <v/>
      </c>
      <c r="M383" t="str">
        <f>"75-502"</f>
        <v>75-502</v>
      </c>
      <c r="N383" t="str">
        <f>"532525187"</f>
        <v>532525187</v>
      </c>
      <c r="O383" t="s">
        <v>1413</v>
      </c>
      <c r="P383" t="s">
        <v>24</v>
      </c>
    </row>
    <row r="384" spans="1:16" hidden="1" x14ac:dyDescent="0.25">
      <c r="A384">
        <v>481339</v>
      </c>
      <c r="B384" t="str">
        <f>"526941474"</f>
        <v>526941474</v>
      </c>
      <c r="C384" t="s">
        <v>16</v>
      </c>
      <c r="D384" t="s">
        <v>1414</v>
      </c>
      <c r="E384" t="s">
        <v>181</v>
      </c>
      <c r="F384" t="s">
        <v>1275</v>
      </c>
      <c r="G384" t="s">
        <v>1415</v>
      </c>
      <c r="H384" t="s">
        <v>1416</v>
      </c>
      <c r="I384" t="s">
        <v>68</v>
      </c>
      <c r="K384" t="str">
        <f>"2"</f>
        <v>2</v>
      </c>
      <c r="L384" t="str">
        <f>""</f>
        <v/>
      </c>
      <c r="M384" t="str">
        <f>"86-014"</f>
        <v>86-014</v>
      </c>
      <c r="N384" t="str">
        <f>"570419709"</f>
        <v>570419709</v>
      </c>
      <c r="O384" t="s">
        <v>460</v>
      </c>
      <c r="P384" t="s">
        <v>24</v>
      </c>
    </row>
    <row r="385" spans="1:16" hidden="1" x14ac:dyDescent="0.25">
      <c r="A385">
        <v>481429</v>
      </c>
      <c r="B385" t="str">
        <f>"527207291"</f>
        <v>527207291</v>
      </c>
      <c r="C385" t="s">
        <v>16</v>
      </c>
      <c r="D385" t="s">
        <v>1417</v>
      </c>
      <c r="E385" t="s">
        <v>181</v>
      </c>
      <c r="F385" t="s">
        <v>1418</v>
      </c>
      <c r="G385" t="s">
        <v>1418</v>
      </c>
      <c r="H385" t="s">
        <v>1418</v>
      </c>
      <c r="I385" t="s">
        <v>30</v>
      </c>
      <c r="J385" t="s">
        <v>1419</v>
      </c>
      <c r="K385" t="str">
        <f>"5"</f>
        <v>5</v>
      </c>
      <c r="L385" t="str">
        <f>""</f>
        <v/>
      </c>
      <c r="M385" t="str">
        <f>"87-800"</f>
        <v>87-800</v>
      </c>
      <c r="N385" t="str">
        <f>"660887300"</f>
        <v>660887300</v>
      </c>
      <c r="O385" t="s">
        <v>1420</v>
      </c>
      <c r="P385" t="s">
        <v>24</v>
      </c>
    </row>
    <row r="386" spans="1:16" hidden="1" x14ac:dyDescent="0.25">
      <c r="A386">
        <v>129464</v>
      </c>
      <c r="B386" t="str">
        <f>"362619696"</f>
        <v>362619696</v>
      </c>
      <c r="C386" t="s">
        <v>16</v>
      </c>
      <c r="D386" t="s">
        <v>1422</v>
      </c>
      <c r="E386" t="s">
        <v>117</v>
      </c>
      <c r="F386" t="s">
        <v>382</v>
      </c>
      <c r="G386" t="s">
        <v>382</v>
      </c>
      <c r="H386" t="s">
        <v>382</v>
      </c>
      <c r="I386" t="s">
        <v>30</v>
      </c>
      <c r="J386" t="s">
        <v>1423</v>
      </c>
      <c r="K386" t="str">
        <f>"138"</f>
        <v>138</v>
      </c>
      <c r="L386" t="str">
        <f>""</f>
        <v/>
      </c>
      <c r="M386" t="str">
        <f>"40-156"</f>
        <v>40-156</v>
      </c>
      <c r="N386" t="str">
        <f>"606968544"</f>
        <v>606968544</v>
      </c>
      <c r="O386" t="s">
        <v>1424</v>
      </c>
      <c r="P386" t="s">
        <v>24</v>
      </c>
    </row>
    <row r="387" spans="1:16" hidden="1" x14ac:dyDescent="0.25">
      <c r="A387">
        <v>481007</v>
      </c>
      <c r="B387" t="str">
        <f>"526470945"</f>
        <v>526470945</v>
      </c>
      <c r="C387" t="s">
        <v>16</v>
      </c>
      <c r="D387" t="s">
        <v>1427</v>
      </c>
      <c r="E387" t="s">
        <v>18</v>
      </c>
      <c r="F387" t="s">
        <v>19</v>
      </c>
      <c r="G387" t="s">
        <v>405</v>
      </c>
      <c r="H387" t="s">
        <v>405</v>
      </c>
      <c r="I387" t="s">
        <v>21</v>
      </c>
      <c r="J387" t="s">
        <v>1428</v>
      </c>
      <c r="K387" t="str">
        <f>"95"</f>
        <v>95</v>
      </c>
      <c r="L387" t="str">
        <f>""</f>
        <v/>
      </c>
      <c r="M387" t="str">
        <f>"04-118"</f>
        <v>04-118</v>
      </c>
      <c r="N387" t="str">
        <f>"606227703"</f>
        <v>606227703</v>
      </c>
      <c r="O387" t="s">
        <v>1429</v>
      </c>
      <c r="P387" t="s">
        <v>24</v>
      </c>
    </row>
    <row r="388" spans="1:16" hidden="1" x14ac:dyDescent="0.25">
      <c r="A388">
        <v>480535</v>
      </c>
      <c r="B388" t="str">
        <f>"526148824"</f>
        <v>526148824</v>
      </c>
      <c r="C388" t="s">
        <v>16</v>
      </c>
      <c r="D388" t="s">
        <v>1430</v>
      </c>
      <c r="E388" t="s">
        <v>74</v>
      </c>
      <c r="F388" t="s">
        <v>433</v>
      </c>
      <c r="G388" t="s">
        <v>433</v>
      </c>
      <c r="H388" t="s">
        <v>433</v>
      </c>
      <c r="I388" t="s">
        <v>30</v>
      </c>
      <c r="J388" t="s">
        <v>1431</v>
      </c>
      <c r="K388" t="str">
        <f>"3"</f>
        <v>3</v>
      </c>
      <c r="L388" t="str">
        <f>""</f>
        <v/>
      </c>
      <c r="M388" t="str">
        <f>"25-322"</f>
        <v>25-322</v>
      </c>
      <c r="N388" t="str">
        <f>"790780829"</f>
        <v>790780829</v>
      </c>
      <c r="O388" t="s">
        <v>1432</v>
      </c>
      <c r="P388" t="s">
        <v>24</v>
      </c>
    </row>
    <row r="389" spans="1:16" hidden="1" x14ac:dyDescent="0.25">
      <c r="A389">
        <v>278268</v>
      </c>
      <c r="B389" t="str">
        <f>"389854143"</f>
        <v>389854143</v>
      </c>
      <c r="C389" t="s">
        <v>16</v>
      </c>
      <c r="D389" t="s">
        <v>1434</v>
      </c>
      <c r="E389" t="s">
        <v>74</v>
      </c>
      <c r="F389" t="s">
        <v>433</v>
      </c>
      <c r="G389" t="s">
        <v>433</v>
      </c>
      <c r="H389" t="s">
        <v>433</v>
      </c>
      <c r="I389" t="s">
        <v>30</v>
      </c>
      <c r="J389" t="s">
        <v>1196</v>
      </c>
      <c r="K389" t="str">
        <f>"40"</f>
        <v>40</v>
      </c>
      <c r="L389" t="str">
        <f>""</f>
        <v/>
      </c>
      <c r="M389" t="str">
        <f>"25-345"</f>
        <v>25-345</v>
      </c>
      <c r="N389" t="str">
        <f>"799891789"</f>
        <v>799891789</v>
      </c>
      <c r="O389" t="s">
        <v>1435</v>
      </c>
      <c r="P389" t="s">
        <v>24</v>
      </c>
    </row>
    <row r="390" spans="1:16" hidden="1" x14ac:dyDescent="0.25">
      <c r="A390">
        <v>480382</v>
      </c>
      <c r="B390" t="str">
        <f>"525921156"</f>
        <v>525921156</v>
      </c>
      <c r="C390" t="s">
        <v>16</v>
      </c>
      <c r="D390" t="s">
        <v>1437</v>
      </c>
      <c r="E390" t="s">
        <v>97</v>
      </c>
      <c r="F390" t="s">
        <v>1438</v>
      </c>
      <c r="G390" t="s">
        <v>1439</v>
      </c>
      <c r="H390" t="s">
        <v>1439</v>
      </c>
      <c r="I390" t="s">
        <v>30</v>
      </c>
      <c r="J390" t="s">
        <v>628</v>
      </c>
      <c r="K390" t="str">
        <f>"27"</f>
        <v>27</v>
      </c>
      <c r="L390" t="str">
        <f>""</f>
        <v/>
      </c>
      <c r="M390" t="str">
        <f>"19-200"</f>
        <v>19-200</v>
      </c>
      <c r="N390" t="str">
        <f>"792861202"</f>
        <v>792861202</v>
      </c>
      <c r="O390" t="s">
        <v>1440</v>
      </c>
      <c r="P390" t="s">
        <v>24</v>
      </c>
    </row>
    <row r="391" spans="1:16" hidden="1" x14ac:dyDescent="0.25">
      <c r="A391">
        <v>481064</v>
      </c>
      <c r="B391" t="str">
        <f>"526478355"</f>
        <v>526478355</v>
      </c>
      <c r="C391" t="s">
        <v>16</v>
      </c>
      <c r="D391" t="s">
        <v>1441</v>
      </c>
      <c r="E391" t="s">
        <v>18</v>
      </c>
      <c r="F391" t="s">
        <v>19</v>
      </c>
      <c r="G391" t="s">
        <v>905</v>
      </c>
      <c r="H391" t="s">
        <v>905</v>
      </c>
      <c r="I391" t="s">
        <v>21</v>
      </c>
      <c r="J391" t="s">
        <v>1442</v>
      </c>
      <c r="K391" t="str">
        <f>"27A"</f>
        <v>27A</v>
      </c>
      <c r="L391" t="str">
        <f>"4"</f>
        <v>4</v>
      </c>
      <c r="M391" t="str">
        <f>"01-248"</f>
        <v>01-248</v>
      </c>
      <c r="N391" t="str">
        <f>"517663334"</f>
        <v>517663334</v>
      </c>
      <c r="O391" t="s">
        <v>1443</v>
      </c>
      <c r="P391" t="s">
        <v>24</v>
      </c>
    </row>
    <row r="392" spans="1:16" hidden="1" x14ac:dyDescent="0.25">
      <c r="A392">
        <v>13339</v>
      </c>
      <c r="B392" t="str">
        <f>"302219070"</f>
        <v>302219070</v>
      </c>
      <c r="C392" t="s">
        <v>16</v>
      </c>
      <c r="D392" t="s">
        <v>1444</v>
      </c>
      <c r="E392" t="s">
        <v>157</v>
      </c>
      <c r="F392" t="s">
        <v>1072</v>
      </c>
      <c r="G392" t="s">
        <v>1445</v>
      </c>
      <c r="H392" t="s">
        <v>670</v>
      </c>
      <c r="I392" t="s">
        <v>68</v>
      </c>
      <c r="K392" t="str">
        <f>"47"</f>
        <v>47</v>
      </c>
      <c r="L392" t="str">
        <f>""</f>
        <v/>
      </c>
      <c r="M392" t="str">
        <f>"62-510"</f>
        <v>62-510</v>
      </c>
      <c r="N392" t="str">
        <f>"632437705"</f>
        <v>632437705</v>
      </c>
      <c r="O392" t="s">
        <v>1446</v>
      </c>
      <c r="P392" t="s">
        <v>24</v>
      </c>
    </row>
    <row r="393" spans="1:16" hidden="1" x14ac:dyDescent="0.25">
      <c r="A393">
        <v>131816</v>
      </c>
      <c r="B393" t="str">
        <f>"365351113"</f>
        <v>365351113</v>
      </c>
      <c r="C393" t="s">
        <v>16</v>
      </c>
      <c r="D393" t="s">
        <v>1447</v>
      </c>
      <c r="E393" t="s">
        <v>117</v>
      </c>
      <c r="F393" t="s">
        <v>118</v>
      </c>
      <c r="G393" t="s">
        <v>118</v>
      </c>
      <c r="H393" t="s">
        <v>118</v>
      </c>
      <c r="I393" t="s">
        <v>30</v>
      </c>
      <c r="J393" t="s">
        <v>99</v>
      </c>
      <c r="K393" t="str">
        <f>"84"</f>
        <v>84</v>
      </c>
      <c r="L393" t="str">
        <f>""</f>
        <v/>
      </c>
      <c r="M393" t="str">
        <f>"42-217"</f>
        <v>42-217</v>
      </c>
      <c r="N393" t="str">
        <f>"508345083"</f>
        <v>508345083</v>
      </c>
      <c r="O393" t="s">
        <v>1448</v>
      </c>
      <c r="P393" t="s">
        <v>24</v>
      </c>
    </row>
    <row r="394" spans="1:16" hidden="1" x14ac:dyDescent="0.25">
      <c r="A394">
        <v>266592</v>
      </c>
      <c r="B394" t="str">
        <f>"369593698"</f>
        <v>369593698</v>
      </c>
      <c r="C394" t="s">
        <v>16</v>
      </c>
      <c r="D394" t="s">
        <v>1449</v>
      </c>
      <c r="E394" t="s">
        <v>18</v>
      </c>
      <c r="F394" t="s">
        <v>19</v>
      </c>
      <c r="G394" t="s">
        <v>1345</v>
      </c>
      <c r="H394" t="s">
        <v>1345</v>
      </c>
      <c r="I394" t="s">
        <v>21</v>
      </c>
      <c r="J394" t="s">
        <v>1450</v>
      </c>
      <c r="K394" t="str">
        <f>"8"</f>
        <v>8</v>
      </c>
      <c r="L394" t="str">
        <f>"110"</f>
        <v>110</v>
      </c>
      <c r="M394" t="str">
        <f>"03-368"</f>
        <v>03-368</v>
      </c>
      <c r="N394" t="str">
        <f>"603635555"</f>
        <v>603635555</v>
      </c>
      <c r="O394" t="s">
        <v>1451</v>
      </c>
      <c r="P394" t="s">
        <v>24</v>
      </c>
    </row>
    <row r="395" spans="1:16" hidden="1" x14ac:dyDescent="0.25">
      <c r="A395">
        <v>125530</v>
      </c>
      <c r="B395" t="str">
        <f>"147454075"</f>
        <v>147454075</v>
      </c>
      <c r="C395" t="s">
        <v>16</v>
      </c>
      <c r="D395" t="s">
        <v>1452</v>
      </c>
      <c r="E395" t="s">
        <v>18</v>
      </c>
      <c r="F395" t="s">
        <v>19</v>
      </c>
      <c r="G395" t="s">
        <v>405</v>
      </c>
      <c r="H395" t="s">
        <v>405</v>
      </c>
      <c r="I395" t="s">
        <v>21</v>
      </c>
      <c r="J395" t="s">
        <v>1453</v>
      </c>
      <c r="K395" t="str">
        <f>"4"</f>
        <v>4</v>
      </c>
      <c r="L395" t="str">
        <f>""</f>
        <v/>
      </c>
      <c r="M395" t="str">
        <f>"04-078"</f>
        <v>04-078</v>
      </c>
      <c r="N395" t="str">
        <f>"791769069"</f>
        <v>791769069</v>
      </c>
      <c r="O395" t="s">
        <v>1454</v>
      </c>
      <c r="P395" t="s">
        <v>24</v>
      </c>
    </row>
    <row r="396" spans="1:16" hidden="1" x14ac:dyDescent="0.25">
      <c r="A396">
        <v>73919</v>
      </c>
      <c r="B396" t="str">
        <f>"122727377"</f>
        <v>122727377</v>
      </c>
      <c r="C396" t="s">
        <v>16</v>
      </c>
      <c r="D396" t="s">
        <v>1452</v>
      </c>
      <c r="E396" t="s">
        <v>27</v>
      </c>
      <c r="F396" t="s">
        <v>123</v>
      </c>
      <c r="G396" t="s">
        <v>141</v>
      </c>
      <c r="H396" t="s">
        <v>141</v>
      </c>
      <c r="I396" t="s">
        <v>42</v>
      </c>
      <c r="J396" t="s">
        <v>1455</v>
      </c>
      <c r="K396" t="str">
        <f>"1"</f>
        <v>1</v>
      </c>
      <c r="L396" t="str">
        <f>"3"</f>
        <v>3</v>
      </c>
      <c r="M396" t="str">
        <f>"30-035"</f>
        <v>30-035</v>
      </c>
      <c r="N396" t="str">
        <f>"123117512"</f>
        <v>123117512</v>
      </c>
      <c r="O396" t="s">
        <v>1456</v>
      </c>
      <c r="P396" t="s">
        <v>24</v>
      </c>
    </row>
    <row r="397" spans="1:16" hidden="1" x14ac:dyDescent="0.25">
      <c r="A397">
        <v>92411</v>
      </c>
      <c r="B397" t="str">
        <f>"146413980"</f>
        <v>146413980</v>
      </c>
      <c r="C397" t="s">
        <v>16</v>
      </c>
      <c r="D397" t="s">
        <v>1452</v>
      </c>
      <c r="E397" t="s">
        <v>18</v>
      </c>
      <c r="F397" t="s">
        <v>19</v>
      </c>
      <c r="G397" t="s">
        <v>1345</v>
      </c>
      <c r="H397" t="s">
        <v>1345</v>
      </c>
      <c r="I397" t="s">
        <v>21</v>
      </c>
      <c r="J397" t="s">
        <v>1450</v>
      </c>
      <c r="K397" t="str">
        <f>"8"</f>
        <v>8</v>
      </c>
      <c r="L397" t="str">
        <f>"U1"</f>
        <v>U1</v>
      </c>
      <c r="M397" t="str">
        <f>"03-368"</f>
        <v>03-368</v>
      </c>
      <c r="N397" t="str">
        <f>"791769069"</f>
        <v>791769069</v>
      </c>
      <c r="O397" t="s">
        <v>1454</v>
      </c>
      <c r="P397" t="s">
        <v>24</v>
      </c>
    </row>
    <row r="398" spans="1:16" hidden="1" x14ac:dyDescent="0.25">
      <c r="A398">
        <v>130718</v>
      </c>
      <c r="B398" t="str">
        <f>"364411557"</f>
        <v>364411557</v>
      </c>
      <c r="C398" t="s">
        <v>16</v>
      </c>
      <c r="D398" t="s">
        <v>1457</v>
      </c>
      <c r="E398" t="s">
        <v>34</v>
      </c>
      <c r="F398" t="s">
        <v>529</v>
      </c>
      <c r="G398" t="s">
        <v>530</v>
      </c>
      <c r="H398" t="s">
        <v>530</v>
      </c>
      <c r="I398" t="s">
        <v>30</v>
      </c>
      <c r="J398" t="s">
        <v>1048</v>
      </c>
      <c r="K398" t="str">
        <f>"36"</f>
        <v>36</v>
      </c>
      <c r="L398" t="str">
        <f>""</f>
        <v/>
      </c>
      <c r="M398" t="str">
        <f>"78-400"</f>
        <v>78-400</v>
      </c>
      <c r="N398" t="str">
        <f>"943745043"</f>
        <v>943745043</v>
      </c>
      <c r="O398" t="s">
        <v>1458</v>
      </c>
      <c r="P398" t="s">
        <v>24</v>
      </c>
    </row>
    <row r="399" spans="1:16" hidden="1" x14ac:dyDescent="0.25">
      <c r="A399">
        <v>132744</v>
      </c>
      <c r="B399" t="str">
        <f>"366177545"</f>
        <v>366177545</v>
      </c>
      <c r="C399" t="s">
        <v>16</v>
      </c>
      <c r="D399" t="s">
        <v>1459</v>
      </c>
      <c r="E399" t="s">
        <v>18</v>
      </c>
      <c r="F399" t="s">
        <v>106</v>
      </c>
      <c r="G399" t="s">
        <v>771</v>
      </c>
      <c r="H399" t="s">
        <v>771</v>
      </c>
      <c r="I399" t="s">
        <v>30</v>
      </c>
      <c r="J399" t="s">
        <v>1460</v>
      </c>
      <c r="K399" t="str">
        <f>"20B"</f>
        <v>20B</v>
      </c>
      <c r="L399" t="str">
        <f>""</f>
        <v/>
      </c>
      <c r="M399" t="str">
        <f>"05-510"</f>
        <v>05-510</v>
      </c>
      <c r="N399" t="str">
        <f>"224466644"</f>
        <v>224466644</v>
      </c>
      <c r="O399" t="s">
        <v>1461</v>
      </c>
      <c r="P399" t="s">
        <v>24</v>
      </c>
    </row>
    <row r="400" spans="1:16" hidden="1" x14ac:dyDescent="0.25">
      <c r="A400">
        <v>133873</v>
      </c>
      <c r="B400" t="str">
        <f>"367705118"</f>
        <v>367705118</v>
      </c>
      <c r="C400" t="s">
        <v>16</v>
      </c>
      <c r="D400" t="s">
        <v>1462</v>
      </c>
      <c r="E400" t="s">
        <v>80</v>
      </c>
      <c r="F400" t="s">
        <v>1105</v>
      </c>
      <c r="G400" t="s">
        <v>1463</v>
      </c>
      <c r="H400" t="s">
        <v>1464</v>
      </c>
      <c r="I400" t="s">
        <v>68</v>
      </c>
      <c r="J400" t="s">
        <v>1465</v>
      </c>
      <c r="K400" t="str">
        <f>"3"</f>
        <v>3</v>
      </c>
      <c r="L400" t="str">
        <f>""</f>
        <v/>
      </c>
      <c r="M400" t="str">
        <f>"80-180"</f>
        <v>80-180</v>
      </c>
      <c r="N400" t="str">
        <f>"505650500"</f>
        <v>505650500</v>
      </c>
      <c r="O400" t="s">
        <v>1466</v>
      </c>
      <c r="P400" t="s">
        <v>24</v>
      </c>
    </row>
    <row r="401" spans="1:16" hidden="1" x14ac:dyDescent="0.25">
      <c r="A401">
        <v>265882</v>
      </c>
      <c r="B401" t="str">
        <f>"368980281"</f>
        <v>368980281</v>
      </c>
      <c r="C401" t="s">
        <v>16</v>
      </c>
      <c r="D401" t="s">
        <v>1467</v>
      </c>
      <c r="E401" t="s">
        <v>18</v>
      </c>
      <c r="F401" t="s">
        <v>846</v>
      </c>
      <c r="G401" t="s">
        <v>925</v>
      </c>
      <c r="H401" t="s">
        <v>925</v>
      </c>
      <c r="I401" t="s">
        <v>30</v>
      </c>
      <c r="J401" t="s">
        <v>1114</v>
      </c>
      <c r="K401" t="str">
        <f>"40c"</f>
        <v>40c</v>
      </c>
      <c r="L401" t="str">
        <f>""</f>
        <v/>
      </c>
      <c r="M401" t="str">
        <f>"05-825"</f>
        <v>05-825</v>
      </c>
      <c r="N401" t="str">
        <f>"501346712"</f>
        <v>501346712</v>
      </c>
      <c r="O401" t="s">
        <v>1468</v>
      </c>
      <c r="P401" t="s">
        <v>24</v>
      </c>
    </row>
    <row r="402" spans="1:16" hidden="1" x14ac:dyDescent="0.25">
      <c r="A402">
        <v>481500</v>
      </c>
      <c r="B402" t="str">
        <f>"527403566"</f>
        <v>527403566</v>
      </c>
      <c r="C402" t="s">
        <v>16</v>
      </c>
      <c r="D402" t="s">
        <v>1469</v>
      </c>
      <c r="E402" t="s">
        <v>64</v>
      </c>
      <c r="F402" t="s">
        <v>1470</v>
      </c>
      <c r="G402" t="s">
        <v>1471</v>
      </c>
      <c r="H402" t="s">
        <v>1471</v>
      </c>
      <c r="I402" t="s">
        <v>30</v>
      </c>
      <c r="J402" t="s">
        <v>881</v>
      </c>
      <c r="K402" t="str">
        <f>"1"</f>
        <v>1</v>
      </c>
      <c r="L402" t="str">
        <f>""</f>
        <v/>
      </c>
      <c r="M402" t="str">
        <f>"59-900"</f>
        <v>59-900</v>
      </c>
      <c r="N402" t="str">
        <f>"519460887"</f>
        <v>519460887</v>
      </c>
      <c r="P402" t="s">
        <v>24</v>
      </c>
    </row>
    <row r="403" spans="1:16" hidden="1" x14ac:dyDescent="0.25">
      <c r="A403">
        <v>131635</v>
      </c>
      <c r="B403" t="str">
        <f>"365323720"</f>
        <v>365323720</v>
      </c>
      <c r="C403" t="s">
        <v>16</v>
      </c>
      <c r="D403" t="s">
        <v>1472</v>
      </c>
      <c r="E403" t="s">
        <v>39</v>
      </c>
      <c r="F403" t="s">
        <v>1267</v>
      </c>
      <c r="G403" t="s">
        <v>1268</v>
      </c>
      <c r="H403" t="s">
        <v>1268</v>
      </c>
      <c r="I403" t="s">
        <v>30</v>
      </c>
      <c r="J403" t="s">
        <v>1473</v>
      </c>
      <c r="K403" t="str">
        <f>"1"</f>
        <v>1</v>
      </c>
      <c r="L403" t="str">
        <f>""</f>
        <v/>
      </c>
      <c r="M403" t="str">
        <f>"98-200"</f>
        <v>98-200</v>
      </c>
      <c r="N403" t="str">
        <f>"502240354"</f>
        <v>502240354</v>
      </c>
      <c r="O403" t="s">
        <v>1474</v>
      </c>
      <c r="P403" t="s">
        <v>24</v>
      </c>
    </row>
    <row r="404" spans="1:16" hidden="1" x14ac:dyDescent="0.25">
      <c r="A404">
        <v>271887</v>
      </c>
      <c r="B404" t="str">
        <f>"383747334"</f>
        <v>383747334</v>
      </c>
      <c r="C404" t="s">
        <v>16</v>
      </c>
      <c r="D404" t="s">
        <v>1475</v>
      </c>
      <c r="E404" t="s">
        <v>80</v>
      </c>
      <c r="F404" t="s">
        <v>145</v>
      </c>
      <c r="G404" t="s">
        <v>1476</v>
      </c>
      <c r="H404" t="s">
        <v>1476</v>
      </c>
      <c r="I404" t="s">
        <v>30</v>
      </c>
      <c r="J404" t="s">
        <v>1477</v>
      </c>
      <c r="K404" t="str">
        <f>"58A"</f>
        <v>58A</v>
      </c>
      <c r="L404" t="str">
        <f>""</f>
        <v/>
      </c>
      <c r="M404" t="str">
        <f>"84-240"</f>
        <v>84-240</v>
      </c>
      <c r="N404" t="str">
        <f>"503007295"</f>
        <v>503007295</v>
      </c>
      <c r="O404" t="s">
        <v>1478</v>
      </c>
      <c r="P404" t="s">
        <v>24</v>
      </c>
    </row>
    <row r="405" spans="1:16" hidden="1" x14ac:dyDescent="0.25">
      <c r="A405">
        <v>73892</v>
      </c>
      <c r="B405" t="str">
        <f>"122702650"</f>
        <v>122702650</v>
      </c>
      <c r="C405" t="s">
        <v>16</v>
      </c>
      <c r="D405" t="s">
        <v>1479</v>
      </c>
      <c r="E405" t="s">
        <v>27</v>
      </c>
      <c r="F405" t="s">
        <v>123</v>
      </c>
      <c r="G405" t="s">
        <v>141</v>
      </c>
      <c r="H405" t="s">
        <v>141</v>
      </c>
      <c r="I405" t="s">
        <v>42</v>
      </c>
      <c r="J405" t="s">
        <v>1480</v>
      </c>
      <c r="K405" t="str">
        <f>"17"</f>
        <v>17</v>
      </c>
      <c r="L405" t="str">
        <f>""</f>
        <v/>
      </c>
      <c r="M405" t="str">
        <f>"30-110"</f>
        <v>30-110</v>
      </c>
      <c r="N405" t="str">
        <f>"661922157"</f>
        <v>661922157</v>
      </c>
      <c r="O405" t="s">
        <v>1481</v>
      </c>
      <c r="P405" t="s">
        <v>24</v>
      </c>
    </row>
    <row r="406" spans="1:16" hidden="1" x14ac:dyDescent="0.25">
      <c r="A406">
        <v>129331</v>
      </c>
      <c r="B406" t="str">
        <f>"362566988"</f>
        <v>362566988</v>
      </c>
      <c r="C406" t="s">
        <v>16</v>
      </c>
      <c r="D406" t="s">
        <v>1482</v>
      </c>
      <c r="E406" t="s">
        <v>18</v>
      </c>
      <c r="F406" t="s">
        <v>1137</v>
      </c>
      <c r="G406" t="s">
        <v>1263</v>
      </c>
      <c r="H406" t="s">
        <v>1263</v>
      </c>
      <c r="I406" t="s">
        <v>30</v>
      </c>
      <c r="J406" t="s">
        <v>1483</v>
      </c>
      <c r="K406" t="str">
        <f>"9"</f>
        <v>9</v>
      </c>
      <c r="L406" t="str">
        <f>""</f>
        <v/>
      </c>
      <c r="M406" t="str">
        <f>"05-092"</f>
        <v>05-092</v>
      </c>
      <c r="N406" t="str">
        <f>"609361500"</f>
        <v>609361500</v>
      </c>
      <c r="O406" t="s">
        <v>1484</v>
      </c>
      <c r="P406" t="s">
        <v>24</v>
      </c>
    </row>
    <row r="407" spans="1:16" hidden="1" x14ac:dyDescent="0.25">
      <c r="A407">
        <v>479743</v>
      </c>
      <c r="B407" t="str">
        <f>"524225414"</f>
        <v>524225414</v>
      </c>
      <c r="C407" t="s">
        <v>16</v>
      </c>
      <c r="D407" t="s">
        <v>1485</v>
      </c>
      <c r="E407" t="s">
        <v>39</v>
      </c>
      <c r="F407" t="s">
        <v>40</v>
      </c>
      <c r="G407" t="s">
        <v>41</v>
      </c>
      <c r="H407" t="s">
        <v>41</v>
      </c>
      <c r="I407" t="s">
        <v>42</v>
      </c>
      <c r="J407" t="s">
        <v>1486</v>
      </c>
      <c r="K407" t="str">
        <f>"24"</f>
        <v>24</v>
      </c>
      <c r="L407" t="str">
        <f>""</f>
        <v/>
      </c>
      <c r="M407" t="str">
        <f>"91-849"</f>
        <v>91-849</v>
      </c>
      <c r="N407" t="str">
        <f>"693068686"</f>
        <v>693068686</v>
      </c>
      <c r="O407" t="s">
        <v>1487</v>
      </c>
      <c r="P407" t="s">
        <v>24</v>
      </c>
    </row>
    <row r="408" spans="1:16" hidden="1" x14ac:dyDescent="0.25">
      <c r="A408">
        <v>273499</v>
      </c>
      <c r="B408" t="str">
        <f>"384482257"</f>
        <v>384482257</v>
      </c>
      <c r="C408" t="s">
        <v>16</v>
      </c>
      <c r="D408" t="s">
        <v>1488</v>
      </c>
      <c r="E408" t="s">
        <v>34</v>
      </c>
      <c r="F408" t="s">
        <v>35</v>
      </c>
      <c r="G408" t="s">
        <v>35</v>
      </c>
      <c r="H408" t="s">
        <v>35</v>
      </c>
      <c r="I408" t="s">
        <v>30</v>
      </c>
      <c r="J408" t="s">
        <v>1489</v>
      </c>
      <c r="K408" t="str">
        <f>"1"</f>
        <v>1</v>
      </c>
      <c r="L408" t="str">
        <f>"3A"</f>
        <v>3A</v>
      </c>
      <c r="M408" t="str">
        <f>"71-345"</f>
        <v>71-345</v>
      </c>
      <c r="N408" t="str">
        <f>"791491221"</f>
        <v>791491221</v>
      </c>
      <c r="O408" t="s">
        <v>1490</v>
      </c>
      <c r="P408" t="s">
        <v>24</v>
      </c>
    </row>
    <row r="409" spans="1:16" hidden="1" x14ac:dyDescent="0.25">
      <c r="A409">
        <v>263005</v>
      </c>
      <c r="B409" t="str">
        <f>"368091693"</f>
        <v>368091693</v>
      </c>
      <c r="C409" t="s">
        <v>16</v>
      </c>
      <c r="D409" t="s">
        <v>1491</v>
      </c>
      <c r="E409" t="s">
        <v>18</v>
      </c>
      <c r="F409" t="s">
        <v>19</v>
      </c>
      <c r="G409" t="s">
        <v>405</v>
      </c>
      <c r="H409" t="s">
        <v>405</v>
      </c>
      <c r="I409" t="s">
        <v>21</v>
      </c>
      <c r="J409" t="s">
        <v>1492</v>
      </c>
      <c r="K409" t="str">
        <f>"4"</f>
        <v>4</v>
      </c>
      <c r="L409" t="str">
        <f>"u2"</f>
        <v>u2</v>
      </c>
      <c r="M409" t="str">
        <f>"03-982"</f>
        <v>03-982</v>
      </c>
      <c r="N409" t="str">
        <f>"533328448"</f>
        <v>533328448</v>
      </c>
      <c r="O409" t="s">
        <v>1493</v>
      </c>
      <c r="P409" t="s">
        <v>24</v>
      </c>
    </row>
    <row r="410" spans="1:16" hidden="1" x14ac:dyDescent="0.25">
      <c r="A410">
        <v>127342</v>
      </c>
      <c r="B410" t="str">
        <f>"361387841"</f>
        <v>361387841</v>
      </c>
      <c r="C410" t="s">
        <v>16</v>
      </c>
      <c r="D410" t="s">
        <v>1494</v>
      </c>
      <c r="E410" t="s">
        <v>18</v>
      </c>
      <c r="F410" t="s">
        <v>1137</v>
      </c>
      <c r="G410" t="s">
        <v>1495</v>
      </c>
      <c r="H410" t="s">
        <v>1495</v>
      </c>
      <c r="I410" t="s">
        <v>68</v>
      </c>
      <c r="J410" t="s">
        <v>1496</v>
      </c>
      <c r="K410" t="str">
        <f>"9"</f>
        <v>9</v>
      </c>
      <c r="L410" t="str">
        <f>""</f>
        <v/>
      </c>
      <c r="M410" t="str">
        <f>"05-082"</f>
        <v>05-082</v>
      </c>
      <c r="N410" t="str">
        <f>"605449412"</f>
        <v>605449412</v>
      </c>
      <c r="O410" t="s">
        <v>1497</v>
      </c>
      <c r="P410" t="s">
        <v>24</v>
      </c>
    </row>
    <row r="411" spans="1:16" hidden="1" x14ac:dyDescent="0.25">
      <c r="A411">
        <v>274478</v>
      </c>
      <c r="B411" t="str">
        <f>"385832363"</f>
        <v>385832363</v>
      </c>
      <c r="C411" t="s">
        <v>16</v>
      </c>
      <c r="D411" t="s">
        <v>1498</v>
      </c>
      <c r="E411" t="s">
        <v>64</v>
      </c>
      <c r="F411" t="s">
        <v>1499</v>
      </c>
      <c r="G411" t="s">
        <v>1500</v>
      </c>
      <c r="H411" t="s">
        <v>1501</v>
      </c>
      <c r="I411" t="s">
        <v>68</v>
      </c>
      <c r="J411" t="s">
        <v>1502</v>
      </c>
      <c r="K411" t="str">
        <f>"14"</f>
        <v>14</v>
      </c>
      <c r="L411" t="str">
        <f>""</f>
        <v/>
      </c>
      <c r="M411" t="str">
        <f>"55-330"</f>
        <v>55-330</v>
      </c>
      <c r="N411" t="str">
        <f>"713141660"</f>
        <v>713141660</v>
      </c>
      <c r="O411" t="s">
        <v>1503</v>
      </c>
      <c r="P411" t="s">
        <v>24</v>
      </c>
    </row>
    <row r="412" spans="1:16" hidden="1" x14ac:dyDescent="0.25">
      <c r="A412">
        <v>132278</v>
      </c>
      <c r="B412" t="str">
        <f>"365529338"</f>
        <v>365529338</v>
      </c>
      <c r="C412" t="s">
        <v>16</v>
      </c>
      <c r="D412" t="s">
        <v>1504</v>
      </c>
      <c r="E412" t="s">
        <v>18</v>
      </c>
      <c r="F412" t="s">
        <v>1505</v>
      </c>
      <c r="G412" t="s">
        <v>1506</v>
      </c>
      <c r="H412" t="s">
        <v>1507</v>
      </c>
      <c r="I412" t="s">
        <v>68</v>
      </c>
      <c r="J412" t="s">
        <v>1508</v>
      </c>
      <c r="K412" t="str">
        <f>"148"</f>
        <v>148</v>
      </c>
      <c r="L412" t="str">
        <f>""</f>
        <v/>
      </c>
      <c r="M412" t="str">
        <f>"05-152"</f>
        <v>05-152</v>
      </c>
      <c r="N412" t="str">
        <f>"501924699"</f>
        <v>501924699</v>
      </c>
      <c r="O412" t="s">
        <v>1509</v>
      </c>
      <c r="P412" t="s">
        <v>24</v>
      </c>
    </row>
    <row r="413" spans="1:16" hidden="1" x14ac:dyDescent="0.25">
      <c r="A413">
        <v>131822</v>
      </c>
      <c r="B413" t="str">
        <f>"365354502"</f>
        <v>365354502</v>
      </c>
      <c r="C413" t="s">
        <v>16</v>
      </c>
      <c r="D413" t="s">
        <v>1510</v>
      </c>
      <c r="E413" t="s">
        <v>74</v>
      </c>
      <c r="F413" t="s">
        <v>433</v>
      </c>
      <c r="G413" t="s">
        <v>433</v>
      </c>
      <c r="H413" t="s">
        <v>433</v>
      </c>
      <c r="I413" t="s">
        <v>30</v>
      </c>
      <c r="J413" t="s">
        <v>1511</v>
      </c>
      <c r="K413" t="str">
        <f>"6"</f>
        <v>6</v>
      </c>
      <c r="L413" t="str">
        <f>"19"</f>
        <v>19</v>
      </c>
      <c r="M413" t="str">
        <f>"25-516"</f>
        <v>25-516</v>
      </c>
      <c r="N413" t="str">
        <f>"605385300"</f>
        <v>605385300</v>
      </c>
      <c r="O413" t="s">
        <v>1512</v>
      </c>
      <c r="P413" t="s">
        <v>24</v>
      </c>
    </row>
    <row r="414" spans="1:16" hidden="1" x14ac:dyDescent="0.25">
      <c r="A414">
        <v>481544</v>
      </c>
      <c r="B414" t="str">
        <f>"527423965"</f>
        <v>527423965</v>
      </c>
      <c r="C414" t="s">
        <v>16</v>
      </c>
      <c r="D414" t="s">
        <v>1513</v>
      </c>
      <c r="E414" t="s">
        <v>64</v>
      </c>
      <c r="F414" t="s">
        <v>65</v>
      </c>
      <c r="G414" t="s">
        <v>1285</v>
      </c>
      <c r="H414" t="s">
        <v>1514</v>
      </c>
      <c r="I414" t="s">
        <v>68</v>
      </c>
      <c r="J414" t="s">
        <v>43</v>
      </c>
      <c r="K414" t="str">
        <f>"1B"</f>
        <v>1B</v>
      </c>
      <c r="L414" t="str">
        <f>""</f>
        <v/>
      </c>
      <c r="M414" t="str">
        <f>"55-093"</f>
        <v>55-093</v>
      </c>
      <c r="N414" t="str">
        <f>"609500204"</f>
        <v>609500204</v>
      </c>
      <c r="O414" t="s">
        <v>1515</v>
      </c>
      <c r="P414" t="s">
        <v>24</v>
      </c>
    </row>
    <row r="415" spans="1:16" hidden="1" x14ac:dyDescent="0.25">
      <c r="A415">
        <v>272537</v>
      </c>
      <c r="B415" t="str">
        <f>"384265235"</f>
        <v>384265235</v>
      </c>
      <c r="C415" t="s">
        <v>16</v>
      </c>
      <c r="D415" t="s">
        <v>1516</v>
      </c>
      <c r="E415" t="s">
        <v>64</v>
      </c>
      <c r="F415" t="s">
        <v>255</v>
      </c>
      <c r="G415" t="s">
        <v>356</v>
      </c>
      <c r="H415" t="s">
        <v>356</v>
      </c>
      <c r="I415" t="s">
        <v>42</v>
      </c>
      <c r="J415" t="s">
        <v>453</v>
      </c>
      <c r="K415" t="str">
        <f>"13"</f>
        <v>13</v>
      </c>
      <c r="L415" t="str">
        <f>""</f>
        <v/>
      </c>
      <c r="M415" t="str">
        <f>"53-609"</f>
        <v>53-609</v>
      </c>
      <c r="N415" t="str">
        <f>"516722304"</f>
        <v>516722304</v>
      </c>
      <c r="O415" t="s">
        <v>1517</v>
      </c>
      <c r="P415" t="s">
        <v>24</v>
      </c>
    </row>
    <row r="416" spans="1:16" hidden="1" x14ac:dyDescent="0.25">
      <c r="A416">
        <v>276396</v>
      </c>
      <c r="B416" t="str">
        <f>"387118492"</f>
        <v>387118492</v>
      </c>
      <c r="C416" t="s">
        <v>16</v>
      </c>
      <c r="D416" t="s">
        <v>1518</v>
      </c>
      <c r="E416" t="s">
        <v>117</v>
      </c>
      <c r="F416" t="s">
        <v>260</v>
      </c>
      <c r="G416" t="s">
        <v>260</v>
      </c>
      <c r="H416" t="s">
        <v>260</v>
      </c>
      <c r="I416" t="s">
        <v>30</v>
      </c>
      <c r="J416" t="s">
        <v>1519</v>
      </c>
      <c r="K416" t="str">
        <f>"2c"</f>
        <v>2c</v>
      </c>
      <c r="L416" t="str">
        <f>""</f>
        <v/>
      </c>
      <c r="M416" t="str">
        <f>"43-100"</f>
        <v>43-100</v>
      </c>
      <c r="N416" t="str">
        <f>"603095737"</f>
        <v>603095737</v>
      </c>
      <c r="O416" t="s">
        <v>1520</v>
      </c>
      <c r="P416" t="s">
        <v>24</v>
      </c>
    </row>
    <row r="417" spans="1:16" hidden="1" x14ac:dyDescent="0.25">
      <c r="A417">
        <v>479004</v>
      </c>
      <c r="B417" t="str">
        <f>"523126940"</f>
        <v>523126940</v>
      </c>
      <c r="C417" t="s">
        <v>16</v>
      </c>
      <c r="D417" t="s">
        <v>1521</v>
      </c>
      <c r="E417" t="s">
        <v>117</v>
      </c>
      <c r="F417" t="s">
        <v>382</v>
      </c>
      <c r="G417" t="s">
        <v>382</v>
      </c>
      <c r="H417" t="s">
        <v>382</v>
      </c>
      <c r="I417" t="s">
        <v>30</v>
      </c>
      <c r="J417" t="s">
        <v>1522</v>
      </c>
      <c r="K417" t="str">
        <f>"4"</f>
        <v>4</v>
      </c>
      <c r="L417" t="str">
        <f>""</f>
        <v/>
      </c>
      <c r="M417" t="str">
        <f>"40-014"</f>
        <v>40-014</v>
      </c>
      <c r="N417" t="str">
        <f>"577726100"</f>
        <v>577726100</v>
      </c>
      <c r="O417" t="s">
        <v>1523</v>
      </c>
      <c r="P417" t="s">
        <v>24</v>
      </c>
    </row>
    <row r="418" spans="1:16" hidden="1" x14ac:dyDescent="0.25">
      <c r="A418">
        <v>132261</v>
      </c>
      <c r="B418" t="str">
        <f>"365523241"</f>
        <v>365523241</v>
      </c>
      <c r="C418" t="s">
        <v>16</v>
      </c>
      <c r="D418" t="s">
        <v>1524</v>
      </c>
      <c r="E418" t="s">
        <v>117</v>
      </c>
      <c r="F418" t="s">
        <v>260</v>
      </c>
      <c r="G418" t="s">
        <v>260</v>
      </c>
      <c r="H418" t="s">
        <v>260</v>
      </c>
      <c r="I418" t="s">
        <v>30</v>
      </c>
      <c r="J418" t="s">
        <v>1525</v>
      </c>
      <c r="K418" t="str">
        <f>"55"</f>
        <v>55</v>
      </c>
      <c r="L418" t="str">
        <f>""</f>
        <v/>
      </c>
      <c r="M418" t="str">
        <f>"43-100"</f>
        <v>43-100</v>
      </c>
      <c r="N418" t="str">
        <f>"513659578"</f>
        <v>513659578</v>
      </c>
      <c r="O418" t="s">
        <v>1526</v>
      </c>
      <c r="P418" t="s">
        <v>24</v>
      </c>
    </row>
    <row r="419" spans="1:16" hidden="1" x14ac:dyDescent="0.25">
      <c r="A419">
        <v>479666</v>
      </c>
      <c r="B419" t="str">
        <f>"524038020"</f>
        <v>524038020</v>
      </c>
      <c r="C419" t="s">
        <v>16</v>
      </c>
      <c r="D419" t="s">
        <v>1527</v>
      </c>
      <c r="E419" t="s">
        <v>117</v>
      </c>
      <c r="F419" t="s">
        <v>260</v>
      </c>
      <c r="G419" t="s">
        <v>260</v>
      </c>
      <c r="H419" t="s">
        <v>260</v>
      </c>
      <c r="I419" t="s">
        <v>30</v>
      </c>
      <c r="J419" t="s">
        <v>660</v>
      </c>
      <c r="K419" t="str">
        <f>"32"</f>
        <v>32</v>
      </c>
      <c r="L419" t="str">
        <f>""</f>
        <v/>
      </c>
      <c r="M419" t="str">
        <f>"43-100"</f>
        <v>43-100</v>
      </c>
      <c r="N419" t="str">
        <f>"533327766"</f>
        <v>533327766</v>
      </c>
      <c r="O419" t="s">
        <v>1528</v>
      </c>
      <c r="P419" t="s">
        <v>24</v>
      </c>
    </row>
    <row r="420" spans="1:16" hidden="1" x14ac:dyDescent="0.25">
      <c r="A420">
        <v>90446</v>
      </c>
      <c r="B420" t="str">
        <f>"243107050"</f>
        <v>243107050</v>
      </c>
      <c r="C420" t="s">
        <v>16</v>
      </c>
      <c r="D420" t="s">
        <v>1529</v>
      </c>
      <c r="E420" t="s">
        <v>117</v>
      </c>
      <c r="F420" t="s">
        <v>213</v>
      </c>
      <c r="G420" t="s">
        <v>213</v>
      </c>
      <c r="H420" t="s">
        <v>213</v>
      </c>
      <c r="I420" t="s">
        <v>30</v>
      </c>
      <c r="J420" t="s">
        <v>1530</v>
      </c>
      <c r="K420" t="str">
        <f>"18"</f>
        <v>18</v>
      </c>
      <c r="L420" t="str">
        <f>""</f>
        <v/>
      </c>
      <c r="M420" t="str">
        <f>"44-100"</f>
        <v>44-100</v>
      </c>
      <c r="N420" t="str">
        <f>"660701413"</f>
        <v>660701413</v>
      </c>
      <c r="O420" t="s">
        <v>1531</v>
      </c>
      <c r="P420" t="s">
        <v>24</v>
      </c>
    </row>
    <row r="421" spans="1:16" hidden="1" x14ac:dyDescent="0.25">
      <c r="A421">
        <v>273236</v>
      </c>
      <c r="B421" t="str">
        <f>"384414824"</f>
        <v>384414824</v>
      </c>
      <c r="C421" t="s">
        <v>16</v>
      </c>
      <c r="D421" t="s">
        <v>1529</v>
      </c>
      <c r="E421" t="s">
        <v>117</v>
      </c>
      <c r="F421" t="s">
        <v>382</v>
      </c>
      <c r="G421" t="s">
        <v>382</v>
      </c>
      <c r="H421" t="s">
        <v>382</v>
      </c>
      <c r="I421" t="s">
        <v>30</v>
      </c>
      <c r="J421" t="s">
        <v>1532</v>
      </c>
      <c r="K421" t="str">
        <f>"9"</f>
        <v>9</v>
      </c>
      <c r="L421" t="str">
        <f>"1a"</f>
        <v>1a</v>
      </c>
      <c r="M421" t="str">
        <f>"40-596"</f>
        <v>40-596</v>
      </c>
      <c r="N421" t="str">
        <f>"574074496"</f>
        <v>574074496</v>
      </c>
      <c r="O421" t="s">
        <v>1533</v>
      </c>
      <c r="P421" t="s">
        <v>24</v>
      </c>
    </row>
    <row r="422" spans="1:16" hidden="1" x14ac:dyDescent="0.25">
      <c r="A422">
        <v>263841</v>
      </c>
      <c r="B422" t="str">
        <f>"368230232"</f>
        <v>368230232</v>
      </c>
      <c r="C422" t="s">
        <v>16</v>
      </c>
      <c r="D422" t="s">
        <v>1534</v>
      </c>
      <c r="E422" t="s">
        <v>18</v>
      </c>
      <c r="F422" t="s">
        <v>486</v>
      </c>
      <c r="G422" t="s">
        <v>487</v>
      </c>
      <c r="H422" t="s">
        <v>487</v>
      </c>
      <c r="I422" t="s">
        <v>30</v>
      </c>
      <c r="J422" t="s">
        <v>1535</v>
      </c>
      <c r="K422" t="str">
        <f>"56"</f>
        <v>56</v>
      </c>
      <c r="L422" t="str">
        <f>""</f>
        <v/>
      </c>
      <c r="M422" t="str">
        <f>"05-070"</f>
        <v>05-070</v>
      </c>
      <c r="N422" t="str">
        <f>"600284032"</f>
        <v>600284032</v>
      </c>
      <c r="O422" t="s">
        <v>1536</v>
      </c>
      <c r="P422" t="s">
        <v>24</v>
      </c>
    </row>
    <row r="423" spans="1:16" hidden="1" x14ac:dyDescent="0.25">
      <c r="A423">
        <v>478679</v>
      </c>
      <c r="B423" t="str">
        <f>"523031151"</f>
        <v>523031151</v>
      </c>
      <c r="C423" t="s">
        <v>16</v>
      </c>
      <c r="D423" t="s">
        <v>1537</v>
      </c>
      <c r="E423" t="s">
        <v>18</v>
      </c>
      <c r="F423" t="s">
        <v>106</v>
      </c>
      <c r="G423" t="s">
        <v>107</v>
      </c>
      <c r="H423" t="s">
        <v>1538</v>
      </c>
      <c r="I423" t="s">
        <v>68</v>
      </c>
      <c r="J423" t="s">
        <v>1539</v>
      </c>
      <c r="K423" t="str">
        <f>"22"</f>
        <v>22</v>
      </c>
      <c r="L423" t="str">
        <f>""</f>
        <v/>
      </c>
      <c r="M423" t="str">
        <f>"05-503"</f>
        <v>05-503</v>
      </c>
      <c r="N423" t="str">
        <f>"604861498"</f>
        <v>604861498</v>
      </c>
      <c r="O423" t="s">
        <v>1540</v>
      </c>
      <c r="P423" t="s">
        <v>24</v>
      </c>
    </row>
    <row r="424" spans="1:16" hidden="1" x14ac:dyDescent="0.25">
      <c r="A424">
        <v>481422</v>
      </c>
      <c r="B424" t="str">
        <f>"527203212"</f>
        <v>527203212</v>
      </c>
      <c r="C424" t="s">
        <v>16</v>
      </c>
      <c r="D424" t="s">
        <v>1541</v>
      </c>
      <c r="E424" t="s">
        <v>117</v>
      </c>
      <c r="F424" t="s">
        <v>1210</v>
      </c>
      <c r="G424" t="s">
        <v>1211</v>
      </c>
      <c r="H424" t="s">
        <v>1211</v>
      </c>
      <c r="I424" t="s">
        <v>30</v>
      </c>
      <c r="J424" t="s">
        <v>1542</v>
      </c>
      <c r="K424" t="str">
        <f>"39"</f>
        <v>39</v>
      </c>
      <c r="L424" t="str">
        <f>""</f>
        <v/>
      </c>
      <c r="M424" t="str">
        <f>"42-600"</f>
        <v>42-600</v>
      </c>
      <c r="N424" t="str">
        <f>"322856368"</f>
        <v>322856368</v>
      </c>
      <c r="O424" t="s">
        <v>1543</v>
      </c>
      <c r="P424" t="s">
        <v>24</v>
      </c>
    </row>
    <row r="425" spans="1:16" hidden="1" x14ac:dyDescent="0.25">
      <c r="A425">
        <v>479007</v>
      </c>
      <c r="B425" t="str">
        <f>"523130976"</f>
        <v>523130976</v>
      </c>
      <c r="C425" t="s">
        <v>16</v>
      </c>
      <c r="D425" t="s">
        <v>1544</v>
      </c>
      <c r="E425" t="s">
        <v>97</v>
      </c>
      <c r="F425" t="s">
        <v>1545</v>
      </c>
      <c r="G425" t="s">
        <v>1546</v>
      </c>
      <c r="H425" t="s">
        <v>1546</v>
      </c>
      <c r="I425" t="s">
        <v>30</v>
      </c>
      <c r="J425" t="s">
        <v>1114</v>
      </c>
      <c r="K425" t="str">
        <f>"56"</f>
        <v>56</v>
      </c>
      <c r="L425" t="str">
        <f>""</f>
        <v/>
      </c>
      <c r="M425" t="str">
        <f>"16-300"</f>
        <v>16-300</v>
      </c>
      <c r="N425" t="str">
        <f>"606822708"</f>
        <v>606822708</v>
      </c>
      <c r="O425" t="s">
        <v>1547</v>
      </c>
      <c r="P425" t="s">
        <v>24</v>
      </c>
    </row>
    <row r="426" spans="1:16" hidden="1" x14ac:dyDescent="0.25">
      <c r="A426">
        <v>129609</v>
      </c>
      <c r="B426" t="str">
        <f>"362684417"</f>
        <v>362684417</v>
      </c>
      <c r="C426" t="s">
        <v>16</v>
      </c>
      <c r="D426" t="s">
        <v>1548</v>
      </c>
      <c r="E426" t="s">
        <v>80</v>
      </c>
      <c r="F426" t="s">
        <v>339</v>
      </c>
      <c r="G426" t="s">
        <v>339</v>
      </c>
      <c r="H426" t="s">
        <v>339</v>
      </c>
      <c r="I426" t="s">
        <v>30</v>
      </c>
      <c r="J426" t="s">
        <v>1549</v>
      </c>
      <c r="K426" t="str">
        <f>"13"</f>
        <v>13</v>
      </c>
      <c r="L426" t="str">
        <f>""</f>
        <v/>
      </c>
      <c r="M426" t="str">
        <f>"80-462"</f>
        <v>80-462</v>
      </c>
      <c r="N426" t="str">
        <f>"502250523"</f>
        <v>502250523</v>
      </c>
      <c r="O426" t="s">
        <v>1550</v>
      </c>
      <c r="P426" t="s">
        <v>24</v>
      </c>
    </row>
    <row r="427" spans="1:16" hidden="1" x14ac:dyDescent="0.25">
      <c r="A427">
        <v>264385</v>
      </c>
      <c r="B427" t="str">
        <f>"368328340"</f>
        <v>368328340</v>
      </c>
      <c r="C427" t="s">
        <v>16</v>
      </c>
      <c r="D427" t="s">
        <v>1551</v>
      </c>
      <c r="E427" t="s">
        <v>18</v>
      </c>
      <c r="F427" t="s">
        <v>1079</v>
      </c>
      <c r="G427" t="s">
        <v>1080</v>
      </c>
      <c r="H427" t="s">
        <v>1080</v>
      </c>
      <c r="I427" t="s">
        <v>30</v>
      </c>
      <c r="J427" t="s">
        <v>1552</v>
      </c>
      <c r="K427" t="str">
        <f>"1"</f>
        <v>1</v>
      </c>
      <c r="L427" t="str">
        <f>""</f>
        <v/>
      </c>
      <c r="M427" t="str">
        <f>"96-300"</f>
        <v>96-300</v>
      </c>
      <c r="N427" t="str">
        <f>"608028165"</f>
        <v>608028165</v>
      </c>
      <c r="P427" t="s">
        <v>24</v>
      </c>
    </row>
    <row r="428" spans="1:16" hidden="1" x14ac:dyDescent="0.25">
      <c r="A428">
        <v>278694</v>
      </c>
      <c r="B428" t="str">
        <f>"520039554"</f>
        <v>520039554</v>
      </c>
      <c r="C428" t="s">
        <v>16</v>
      </c>
      <c r="D428" t="s">
        <v>1553</v>
      </c>
      <c r="E428" t="s">
        <v>101</v>
      </c>
      <c r="F428" t="s">
        <v>102</v>
      </c>
      <c r="G428" t="s">
        <v>102</v>
      </c>
      <c r="H428" t="s">
        <v>102</v>
      </c>
      <c r="I428" t="s">
        <v>30</v>
      </c>
      <c r="J428" t="s">
        <v>1554</v>
      </c>
      <c r="K428" t="str">
        <f>"11b"</f>
        <v>11b</v>
      </c>
      <c r="L428" t="str">
        <f>""</f>
        <v/>
      </c>
      <c r="M428" t="str">
        <f>"35-604"</f>
        <v>35-604</v>
      </c>
      <c r="N428" t="str">
        <f>"504387008"</f>
        <v>504387008</v>
      </c>
      <c r="O428" t="s">
        <v>1555</v>
      </c>
      <c r="P428" t="s">
        <v>24</v>
      </c>
    </row>
    <row r="429" spans="1:16" hidden="1" x14ac:dyDescent="0.25">
      <c r="A429">
        <v>84522</v>
      </c>
      <c r="B429" t="str">
        <f>"161494425"</f>
        <v>161494425</v>
      </c>
      <c r="C429" t="s">
        <v>16</v>
      </c>
      <c r="D429" t="s">
        <v>1556</v>
      </c>
      <c r="E429" t="s">
        <v>416</v>
      </c>
      <c r="F429" t="s">
        <v>417</v>
      </c>
      <c r="G429" t="s">
        <v>417</v>
      </c>
      <c r="H429" t="s">
        <v>417</v>
      </c>
      <c r="I429" t="s">
        <v>30</v>
      </c>
      <c r="J429" t="s">
        <v>1557</v>
      </c>
      <c r="K429" t="str">
        <f>"10a"</f>
        <v>10a</v>
      </c>
      <c r="L429" t="str">
        <f>""</f>
        <v/>
      </c>
      <c r="M429" t="str">
        <f>"45-715"</f>
        <v>45-715</v>
      </c>
      <c r="N429" t="str">
        <f>"669472410"</f>
        <v>669472410</v>
      </c>
      <c r="P429" t="s">
        <v>24</v>
      </c>
    </row>
    <row r="430" spans="1:16" hidden="1" x14ac:dyDescent="0.25">
      <c r="A430">
        <v>132318</v>
      </c>
      <c r="B430" t="str">
        <f>"365551094"</f>
        <v>365551094</v>
      </c>
      <c r="C430" t="s">
        <v>16</v>
      </c>
      <c r="D430" t="s">
        <v>1558</v>
      </c>
      <c r="E430" t="s">
        <v>18</v>
      </c>
      <c r="F430" t="s">
        <v>1079</v>
      </c>
      <c r="G430" t="s">
        <v>1080</v>
      </c>
      <c r="H430" t="s">
        <v>1080</v>
      </c>
      <c r="I430" t="s">
        <v>30</v>
      </c>
      <c r="J430" t="s">
        <v>1542</v>
      </c>
      <c r="K430" t="str">
        <f>"21a"</f>
        <v>21a</v>
      </c>
      <c r="L430" t="str">
        <f>"4"</f>
        <v>4</v>
      </c>
      <c r="M430" t="str">
        <f>"96-300"</f>
        <v>96-300</v>
      </c>
      <c r="N430" t="str">
        <f>"530601970"</f>
        <v>530601970</v>
      </c>
      <c r="O430" t="s">
        <v>1039</v>
      </c>
      <c r="P430" t="s">
        <v>24</v>
      </c>
    </row>
    <row r="431" spans="1:16" hidden="1" x14ac:dyDescent="0.25">
      <c r="A431">
        <v>126211</v>
      </c>
      <c r="B431" t="str">
        <f>"360175456"</f>
        <v>360175456</v>
      </c>
      <c r="C431" t="s">
        <v>16</v>
      </c>
      <c r="D431" t="s">
        <v>1559</v>
      </c>
      <c r="E431" t="s">
        <v>18</v>
      </c>
      <c r="F431" t="s">
        <v>19</v>
      </c>
      <c r="G431" t="s">
        <v>1345</v>
      </c>
      <c r="H431" t="s">
        <v>1345</v>
      </c>
      <c r="I431" t="s">
        <v>21</v>
      </c>
      <c r="J431" t="s">
        <v>1560</v>
      </c>
      <c r="K431" t="str">
        <f>"1"</f>
        <v>1</v>
      </c>
      <c r="L431" t="str">
        <f>""</f>
        <v/>
      </c>
      <c r="M431" t="str">
        <f>"03-645"</f>
        <v>03-645</v>
      </c>
      <c r="N431" t="str">
        <f>"669333300"</f>
        <v>669333300</v>
      </c>
      <c r="O431" t="s">
        <v>1561</v>
      </c>
      <c r="P431" t="s">
        <v>24</v>
      </c>
    </row>
    <row r="432" spans="1:16" hidden="1" x14ac:dyDescent="0.25">
      <c r="A432">
        <v>276495</v>
      </c>
      <c r="B432" t="str">
        <f>"387158110"</f>
        <v>387158110</v>
      </c>
      <c r="C432" t="s">
        <v>16</v>
      </c>
      <c r="D432" t="s">
        <v>1562</v>
      </c>
      <c r="E432" t="s">
        <v>18</v>
      </c>
      <c r="F432" t="s">
        <v>19</v>
      </c>
      <c r="G432" t="s">
        <v>405</v>
      </c>
      <c r="H432" t="s">
        <v>405</v>
      </c>
      <c r="I432" t="s">
        <v>21</v>
      </c>
      <c r="J432" t="s">
        <v>1563</v>
      </c>
      <c r="K432" t="str">
        <f>"46"</f>
        <v>46</v>
      </c>
      <c r="L432" t="str">
        <f>"u3"</f>
        <v>u3</v>
      </c>
      <c r="M432" t="str">
        <f>"04-158"</f>
        <v>04-158</v>
      </c>
      <c r="N432" t="str">
        <f>"533335332"</f>
        <v>533335332</v>
      </c>
      <c r="O432" t="s">
        <v>818</v>
      </c>
      <c r="P432" t="s">
        <v>24</v>
      </c>
    </row>
    <row r="433" spans="1:16" hidden="1" x14ac:dyDescent="0.25">
      <c r="A433">
        <v>114729</v>
      </c>
      <c r="B433" t="str">
        <f>"146688084"</f>
        <v>146688084</v>
      </c>
      <c r="C433" t="s">
        <v>16</v>
      </c>
      <c r="D433" t="s">
        <v>1564</v>
      </c>
      <c r="E433" t="s">
        <v>18</v>
      </c>
      <c r="F433" t="s">
        <v>19</v>
      </c>
      <c r="G433" t="s">
        <v>905</v>
      </c>
      <c r="H433" t="s">
        <v>905</v>
      </c>
      <c r="I433" t="s">
        <v>21</v>
      </c>
      <c r="J433" t="s">
        <v>131</v>
      </c>
      <c r="K433" t="str">
        <f>"59"</f>
        <v>59</v>
      </c>
      <c r="L433" t="str">
        <f>""</f>
        <v/>
      </c>
      <c r="M433" t="str">
        <f>"01-043"</f>
        <v>01-043</v>
      </c>
      <c r="N433" t="str">
        <f>"660496841"</f>
        <v>660496841</v>
      </c>
      <c r="O433" t="s">
        <v>1565</v>
      </c>
      <c r="P433" t="s">
        <v>24</v>
      </c>
    </row>
    <row r="434" spans="1:16" hidden="1" x14ac:dyDescent="0.25">
      <c r="A434">
        <v>119972</v>
      </c>
      <c r="B434" t="str">
        <f>"146873516"</f>
        <v>146873516</v>
      </c>
      <c r="C434" t="s">
        <v>16</v>
      </c>
      <c r="D434" t="s">
        <v>1566</v>
      </c>
      <c r="E434" t="s">
        <v>18</v>
      </c>
      <c r="F434" t="s">
        <v>373</v>
      </c>
      <c r="G434" t="s">
        <v>562</v>
      </c>
      <c r="H434" t="s">
        <v>1567</v>
      </c>
      <c r="I434" t="s">
        <v>68</v>
      </c>
      <c r="J434" t="s">
        <v>1568</v>
      </c>
      <c r="K434" t="str">
        <f>"1"</f>
        <v>1</v>
      </c>
      <c r="L434" t="str">
        <f>""</f>
        <v/>
      </c>
      <c r="M434" t="str">
        <f>"05-123"</f>
        <v>05-123</v>
      </c>
      <c r="N434" t="str">
        <f>"604979962"</f>
        <v>604979962</v>
      </c>
      <c r="O434" t="s">
        <v>1569</v>
      </c>
      <c r="P434" t="s">
        <v>24</v>
      </c>
    </row>
    <row r="435" spans="1:16" hidden="1" x14ac:dyDescent="0.25">
      <c r="A435">
        <v>270860</v>
      </c>
      <c r="B435" t="str">
        <f>"382994131"</f>
        <v>382994131</v>
      </c>
      <c r="C435" t="s">
        <v>16</v>
      </c>
      <c r="D435" t="s">
        <v>1571</v>
      </c>
      <c r="E435" t="s">
        <v>157</v>
      </c>
      <c r="F435" t="s">
        <v>158</v>
      </c>
      <c r="G435" t="s">
        <v>159</v>
      </c>
      <c r="H435" t="s">
        <v>159</v>
      </c>
      <c r="I435" t="s">
        <v>42</v>
      </c>
      <c r="J435" t="s">
        <v>1572</v>
      </c>
      <c r="K435" t="str">
        <f>"34"</f>
        <v>34</v>
      </c>
      <c r="L435" t="str">
        <f>"3"</f>
        <v>3</v>
      </c>
      <c r="M435" t="str">
        <f>"60-825"</f>
        <v>60-825</v>
      </c>
      <c r="N435" t="str">
        <f>"508574037"</f>
        <v>508574037</v>
      </c>
      <c r="O435" t="s">
        <v>1573</v>
      </c>
      <c r="P435" t="s">
        <v>24</v>
      </c>
    </row>
    <row r="436" spans="1:16" hidden="1" x14ac:dyDescent="0.25">
      <c r="A436">
        <v>263362</v>
      </c>
      <c r="B436" t="str">
        <f>"368182770"</f>
        <v>368182770</v>
      </c>
      <c r="C436" t="s">
        <v>16</v>
      </c>
      <c r="D436" t="s">
        <v>1575</v>
      </c>
      <c r="E436" t="s">
        <v>181</v>
      </c>
      <c r="F436" t="s">
        <v>437</v>
      </c>
      <c r="G436" t="s">
        <v>437</v>
      </c>
      <c r="H436" t="s">
        <v>437</v>
      </c>
      <c r="I436" t="s">
        <v>30</v>
      </c>
      <c r="J436" t="s">
        <v>1576</v>
      </c>
      <c r="K436" t="str">
        <f>"101"</f>
        <v>101</v>
      </c>
      <c r="L436" t="str">
        <f>""</f>
        <v/>
      </c>
      <c r="M436" t="str">
        <f>"85-861"</f>
        <v>85-861</v>
      </c>
      <c r="N436" t="str">
        <f>"606655845"</f>
        <v>606655845</v>
      </c>
      <c r="O436" t="s">
        <v>1577</v>
      </c>
      <c r="P436" t="s">
        <v>24</v>
      </c>
    </row>
    <row r="437" spans="1:16" hidden="1" x14ac:dyDescent="0.25">
      <c r="A437">
        <v>278578</v>
      </c>
      <c r="B437" t="str">
        <f>"389985715"</f>
        <v>389985715</v>
      </c>
      <c r="C437" t="s">
        <v>16</v>
      </c>
      <c r="D437" t="s">
        <v>1578</v>
      </c>
      <c r="E437" t="s">
        <v>74</v>
      </c>
      <c r="F437" t="s">
        <v>433</v>
      </c>
      <c r="G437" t="s">
        <v>433</v>
      </c>
      <c r="H437" t="s">
        <v>433</v>
      </c>
      <c r="I437" t="s">
        <v>30</v>
      </c>
      <c r="J437" t="s">
        <v>1579</v>
      </c>
      <c r="K437" t="str">
        <f>"127"</f>
        <v>127</v>
      </c>
      <c r="L437" t="str">
        <f>"2"</f>
        <v>2</v>
      </c>
      <c r="M437" t="str">
        <f>"25-211"</f>
        <v>25-211</v>
      </c>
      <c r="N437" t="str">
        <f>"505766406"</f>
        <v>505766406</v>
      </c>
      <c r="O437" t="s">
        <v>1580</v>
      </c>
      <c r="P437" t="s">
        <v>24</v>
      </c>
    </row>
    <row r="438" spans="1:16" hidden="1" x14ac:dyDescent="0.25">
      <c r="A438">
        <v>131732</v>
      </c>
      <c r="B438" t="str">
        <f>"365338265"</f>
        <v>365338265</v>
      </c>
      <c r="C438" t="s">
        <v>16</v>
      </c>
      <c r="D438" t="s">
        <v>1581</v>
      </c>
      <c r="E438" t="s">
        <v>64</v>
      </c>
      <c r="F438" t="s">
        <v>841</v>
      </c>
      <c r="G438" t="s">
        <v>1582</v>
      </c>
      <c r="H438" t="s">
        <v>1582</v>
      </c>
      <c r="I438" t="s">
        <v>30</v>
      </c>
      <c r="J438" t="s">
        <v>1583</v>
      </c>
      <c r="K438" t="str">
        <f>"1"</f>
        <v>1</v>
      </c>
      <c r="L438" t="str">
        <f>"5"</f>
        <v>5</v>
      </c>
      <c r="M438" t="str">
        <f>"58-100"</f>
        <v>58-100</v>
      </c>
      <c r="N438" t="str">
        <f>"535441522"</f>
        <v>535441522</v>
      </c>
      <c r="O438" t="s">
        <v>1584</v>
      </c>
      <c r="P438" t="s">
        <v>24</v>
      </c>
    </row>
    <row r="439" spans="1:16" hidden="1" x14ac:dyDescent="0.25">
      <c r="A439">
        <v>264922</v>
      </c>
      <c r="B439" t="str">
        <f>"368511310"</f>
        <v>368511310</v>
      </c>
      <c r="C439" t="s">
        <v>16</v>
      </c>
      <c r="D439" t="s">
        <v>1585</v>
      </c>
      <c r="E439" t="s">
        <v>18</v>
      </c>
      <c r="F439" t="s">
        <v>604</v>
      </c>
      <c r="G439" t="s">
        <v>1586</v>
      </c>
      <c r="H439" t="s">
        <v>1586</v>
      </c>
      <c r="I439" t="s">
        <v>68</v>
      </c>
      <c r="J439" t="s">
        <v>1013</v>
      </c>
      <c r="K439" t="str">
        <f>"16"</f>
        <v>16</v>
      </c>
      <c r="L439" t="str">
        <f>""</f>
        <v/>
      </c>
      <c r="M439" t="str">
        <f>"96-520"</f>
        <v>96-520</v>
      </c>
      <c r="N439" t="str">
        <f>"507201968"</f>
        <v>507201968</v>
      </c>
      <c r="P439" t="s">
        <v>24</v>
      </c>
    </row>
    <row r="440" spans="1:16" hidden="1" x14ac:dyDescent="0.25">
      <c r="A440">
        <v>278863</v>
      </c>
      <c r="B440" t="str">
        <f>"520129464"</f>
        <v>520129464</v>
      </c>
      <c r="C440" t="s">
        <v>16</v>
      </c>
      <c r="D440" t="s">
        <v>1587</v>
      </c>
      <c r="E440" t="s">
        <v>80</v>
      </c>
      <c r="F440" t="s">
        <v>339</v>
      </c>
      <c r="G440" t="s">
        <v>339</v>
      </c>
      <c r="H440" t="s">
        <v>339</v>
      </c>
      <c r="I440" t="s">
        <v>30</v>
      </c>
      <c r="J440" t="s">
        <v>1588</v>
      </c>
      <c r="K440" t="str">
        <f>"7"</f>
        <v>7</v>
      </c>
      <c r="L440" t="str">
        <f>"45"</f>
        <v>45</v>
      </c>
      <c r="M440" t="str">
        <f>"80-214"</f>
        <v>80-214</v>
      </c>
      <c r="N440" t="str">
        <f>"784595052"</f>
        <v>784595052</v>
      </c>
      <c r="O440" t="s">
        <v>1589</v>
      </c>
      <c r="P440" t="s">
        <v>24</v>
      </c>
    </row>
    <row r="441" spans="1:16" hidden="1" x14ac:dyDescent="0.25">
      <c r="A441">
        <v>279439</v>
      </c>
      <c r="B441" t="str">
        <f>"521520041"</f>
        <v>521520041</v>
      </c>
      <c r="C441" t="s">
        <v>16</v>
      </c>
      <c r="D441" t="s">
        <v>1590</v>
      </c>
      <c r="E441" t="s">
        <v>80</v>
      </c>
      <c r="F441" t="s">
        <v>641</v>
      </c>
      <c r="G441" t="s">
        <v>642</v>
      </c>
      <c r="H441" t="s">
        <v>1591</v>
      </c>
      <c r="I441" t="s">
        <v>68</v>
      </c>
      <c r="J441" t="s">
        <v>1592</v>
      </c>
      <c r="K441" t="str">
        <f>"4"</f>
        <v>4</v>
      </c>
      <c r="L441" t="str">
        <f>""</f>
        <v/>
      </c>
      <c r="M441" t="str">
        <f>"81-198"</f>
        <v>81-198</v>
      </c>
      <c r="N441" t="str">
        <f>"604658954"</f>
        <v>604658954</v>
      </c>
      <c r="O441" t="s">
        <v>1593</v>
      </c>
      <c r="P441" t="s">
        <v>24</v>
      </c>
    </row>
    <row r="442" spans="1:16" hidden="1" x14ac:dyDescent="0.25">
      <c r="A442">
        <v>481793</v>
      </c>
      <c r="B442" t="str">
        <f>"528352724"</f>
        <v>528352724</v>
      </c>
      <c r="C442" t="s">
        <v>16</v>
      </c>
      <c r="D442" t="s">
        <v>1594</v>
      </c>
      <c r="E442" t="s">
        <v>157</v>
      </c>
      <c r="F442" t="s">
        <v>162</v>
      </c>
      <c r="G442" t="s">
        <v>1574</v>
      </c>
      <c r="H442" t="s">
        <v>1574</v>
      </c>
      <c r="I442" t="s">
        <v>68</v>
      </c>
      <c r="J442" t="s">
        <v>1595</v>
      </c>
      <c r="K442" t="str">
        <f>"6"</f>
        <v>6</v>
      </c>
      <c r="L442" t="str">
        <f>""</f>
        <v/>
      </c>
      <c r="M442" t="str">
        <f>"62-002"</f>
        <v>62-002</v>
      </c>
      <c r="N442" t="str">
        <f>"571520335"</f>
        <v>571520335</v>
      </c>
      <c r="O442" t="s">
        <v>1596</v>
      </c>
      <c r="P442" t="s">
        <v>24</v>
      </c>
    </row>
    <row r="443" spans="1:16" hidden="1" x14ac:dyDescent="0.25">
      <c r="A443">
        <v>130149</v>
      </c>
      <c r="B443" t="str">
        <f>"363550096"</f>
        <v>363550096</v>
      </c>
      <c r="C443" t="s">
        <v>16</v>
      </c>
      <c r="D443" t="s">
        <v>1597</v>
      </c>
      <c r="E443" t="s">
        <v>117</v>
      </c>
      <c r="F443" t="s">
        <v>382</v>
      </c>
      <c r="G443" t="s">
        <v>382</v>
      </c>
      <c r="H443" t="s">
        <v>382</v>
      </c>
      <c r="I443" t="s">
        <v>30</v>
      </c>
      <c r="J443" t="s">
        <v>1598</v>
      </c>
      <c r="K443" t="str">
        <f>"5"</f>
        <v>5</v>
      </c>
      <c r="L443" t="str">
        <f>""</f>
        <v/>
      </c>
      <c r="M443" t="str">
        <f>"40-594"</f>
        <v>40-594</v>
      </c>
      <c r="N443" t="str">
        <f>"322928925"</f>
        <v>322928925</v>
      </c>
      <c r="O443" t="s">
        <v>1599</v>
      </c>
      <c r="P443" t="s">
        <v>24</v>
      </c>
    </row>
    <row r="444" spans="1:16" hidden="1" x14ac:dyDescent="0.25">
      <c r="A444">
        <v>479012</v>
      </c>
      <c r="B444" t="str">
        <f>"523129536"</f>
        <v>523129536</v>
      </c>
      <c r="C444" t="s">
        <v>16</v>
      </c>
      <c r="D444" t="s">
        <v>1600</v>
      </c>
      <c r="E444" t="s">
        <v>389</v>
      </c>
      <c r="F444" t="s">
        <v>1601</v>
      </c>
      <c r="G444" t="s">
        <v>1602</v>
      </c>
      <c r="H444" t="s">
        <v>1602</v>
      </c>
      <c r="I444" t="s">
        <v>30</v>
      </c>
      <c r="J444" t="s">
        <v>1193</v>
      </c>
      <c r="K444" t="str">
        <f>"41"</f>
        <v>41</v>
      </c>
      <c r="L444" t="str">
        <f>""</f>
        <v/>
      </c>
      <c r="M444" t="str">
        <f>"14-100"</f>
        <v>14-100</v>
      </c>
      <c r="N444" t="str">
        <f>"793442635"</f>
        <v>793442635</v>
      </c>
      <c r="O444" t="s">
        <v>1603</v>
      </c>
      <c r="P444" t="s">
        <v>24</v>
      </c>
    </row>
    <row r="445" spans="1:16" hidden="1" x14ac:dyDescent="0.25">
      <c r="A445">
        <v>481460</v>
      </c>
      <c r="B445" t="str">
        <f>"527305480"</f>
        <v>527305480</v>
      </c>
      <c r="C445" t="s">
        <v>16</v>
      </c>
      <c r="D445" t="s">
        <v>1604</v>
      </c>
      <c r="E445" t="s">
        <v>117</v>
      </c>
      <c r="F445" t="s">
        <v>382</v>
      </c>
      <c r="G445" t="s">
        <v>382</v>
      </c>
      <c r="H445" t="s">
        <v>382</v>
      </c>
      <c r="I445" t="s">
        <v>30</v>
      </c>
      <c r="J445" t="s">
        <v>1114</v>
      </c>
      <c r="K445" t="str">
        <f>"13"</f>
        <v>13</v>
      </c>
      <c r="L445" t="str">
        <f>"6"</f>
        <v>6</v>
      </c>
      <c r="M445" t="str">
        <f>"40-096"</f>
        <v>40-096</v>
      </c>
      <c r="N445" t="str">
        <f>"793533003"</f>
        <v>793533003</v>
      </c>
      <c r="O445" t="s">
        <v>1605</v>
      </c>
      <c r="P445" t="s">
        <v>24</v>
      </c>
    </row>
    <row r="446" spans="1:16" hidden="1" x14ac:dyDescent="0.25">
      <c r="A446">
        <v>264372</v>
      </c>
      <c r="B446" t="str">
        <f>"368323554"</f>
        <v>368323554</v>
      </c>
      <c r="C446" t="s">
        <v>16</v>
      </c>
      <c r="D446" t="s">
        <v>1606</v>
      </c>
      <c r="E446" t="s">
        <v>18</v>
      </c>
      <c r="F446" t="s">
        <v>19</v>
      </c>
      <c r="G446" t="s">
        <v>1089</v>
      </c>
      <c r="H446" t="s">
        <v>1089</v>
      </c>
      <c r="I446" t="s">
        <v>21</v>
      </c>
      <c r="J446" t="s">
        <v>1607</v>
      </c>
      <c r="K446" t="str">
        <f>"61"</f>
        <v>61</v>
      </c>
      <c r="L446" t="str">
        <f>""</f>
        <v/>
      </c>
      <c r="M446" t="str">
        <f>"04-872"</f>
        <v>04-872</v>
      </c>
      <c r="N446" t="str">
        <f>"604527499"</f>
        <v>604527499</v>
      </c>
      <c r="O446" t="s">
        <v>1608</v>
      </c>
      <c r="P446" t="s">
        <v>24</v>
      </c>
    </row>
    <row r="447" spans="1:16" hidden="1" x14ac:dyDescent="0.25">
      <c r="A447">
        <v>478724</v>
      </c>
      <c r="B447" t="str">
        <f>"523034110"</f>
        <v>523034110</v>
      </c>
      <c r="C447" t="s">
        <v>16</v>
      </c>
      <c r="D447" t="s">
        <v>1609</v>
      </c>
      <c r="E447" t="s">
        <v>157</v>
      </c>
      <c r="F447" t="s">
        <v>1499</v>
      </c>
      <c r="G447" t="s">
        <v>1610</v>
      </c>
      <c r="H447" t="s">
        <v>1610</v>
      </c>
      <c r="I447" t="s">
        <v>30</v>
      </c>
      <c r="J447" t="s">
        <v>1611</v>
      </c>
      <c r="K447" t="str">
        <f>"5c"</f>
        <v>5c</v>
      </c>
      <c r="L447" t="str">
        <f>"2"</f>
        <v>2</v>
      </c>
      <c r="M447" t="str">
        <f>"63-000"</f>
        <v>63-000</v>
      </c>
      <c r="N447" t="str">
        <f>"789207300"</f>
        <v>789207300</v>
      </c>
      <c r="O447" t="s">
        <v>1612</v>
      </c>
      <c r="P447" t="s">
        <v>24</v>
      </c>
    </row>
    <row r="448" spans="1:16" hidden="1" x14ac:dyDescent="0.25">
      <c r="A448">
        <v>273502</v>
      </c>
      <c r="B448" t="str">
        <f>"384482553"</f>
        <v>384482553</v>
      </c>
      <c r="C448" t="s">
        <v>16</v>
      </c>
      <c r="D448" t="s">
        <v>1613</v>
      </c>
      <c r="E448" t="s">
        <v>74</v>
      </c>
      <c r="F448" t="s">
        <v>1295</v>
      </c>
      <c r="G448" t="s">
        <v>1436</v>
      </c>
      <c r="H448" t="s">
        <v>1436</v>
      </c>
      <c r="I448" t="s">
        <v>30</v>
      </c>
      <c r="J448" t="s">
        <v>1614</v>
      </c>
      <c r="K448" t="str">
        <f>"9E"</f>
        <v>9E</v>
      </c>
      <c r="L448" t="str">
        <f>""</f>
        <v/>
      </c>
      <c r="M448" t="str">
        <f>"26-130"</f>
        <v>26-130</v>
      </c>
      <c r="N448" t="str">
        <f>"514989100"</f>
        <v>514989100</v>
      </c>
      <c r="O448" t="s">
        <v>1615</v>
      </c>
      <c r="P448" t="s">
        <v>24</v>
      </c>
    </row>
    <row r="449" spans="1:16" hidden="1" x14ac:dyDescent="0.25">
      <c r="A449">
        <v>125553</v>
      </c>
      <c r="B449" t="str">
        <f>"260799310"</f>
        <v>260799310</v>
      </c>
      <c r="C449" t="s">
        <v>16</v>
      </c>
      <c r="D449" t="s">
        <v>1616</v>
      </c>
      <c r="E449" t="s">
        <v>74</v>
      </c>
      <c r="F449" t="s">
        <v>75</v>
      </c>
      <c r="G449" t="s">
        <v>76</v>
      </c>
      <c r="H449" t="s">
        <v>76</v>
      </c>
      <c r="I449" t="s">
        <v>30</v>
      </c>
      <c r="J449" t="s">
        <v>1617</v>
      </c>
      <c r="K449" t="str">
        <f>"26a"</f>
        <v>26a</v>
      </c>
      <c r="L449" t="str">
        <f>""</f>
        <v/>
      </c>
      <c r="M449" t="str">
        <f>"27-400"</f>
        <v>27-400</v>
      </c>
      <c r="N449" t="str">
        <f>"507814334"</f>
        <v>507814334</v>
      </c>
      <c r="O449" t="s">
        <v>1618</v>
      </c>
      <c r="P449" t="s">
        <v>24</v>
      </c>
    </row>
    <row r="450" spans="1:16" hidden="1" x14ac:dyDescent="0.25">
      <c r="A450">
        <v>272597</v>
      </c>
      <c r="B450" t="str">
        <f>"384267547"</f>
        <v>384267547</v>
      </c>
      <c r="C450" t="s">
        <v>16</v>
      </c>
      <c r="D450" t="s">
        <v>1619</v>
      </c>
      <c r="E450" t="s">
        <v>18</v>
      </c>
      <c r="F450" t="s">
        <v>1137</v>
      </c>
      <c r="G450" t="s">
        <v>1263</v>
      </c>
      <c r="H450" t="s">
        <v>1263</v>
      </c>
      <c r="I450" t="s">
        <v>30</v>
      </c>
      <c r="J450" t="s">
        <v>1620</v>
      </c>
      <c r="K450" t="str">
        <f>"1B"</f>
        <v>1B</v>
      </c>
      <c r="L450" t="str">
        <f>""</f>
        <v/>
      </c>
      <c r="M450" t="str">
        <f>"05-092"</f>
        <v>05-092</v>
      </c>
      <c r="N450" t="str">
        <f>"535500324"</f>
        <v>535500324</v>
      </c>
      <c r="O450" t="s">
        <v>1621</v>
      </c>
      <c r="P450" t="s">
        <v>24</v>
      </c>
    </row>
    <row r="451" spans="1:16" hidden="1" x14ac:dyDescent="0.25">
      <c r="A451">
        <v>480392</v>
      </c>
      <c r="B451" t="str">
        <f>"525925266"</f>
        <v>525925266</v>
      </c>
      <c r="C451" t="s">
        <v>16</v>
      </c>
      <c r="D451" t="s">
        <v>1622</v>
      </c>
      <c r="E451" t="s">
        <v>117</v>
      </c>
      <c r="F451" t="s">
        <v>384</v>
      </c>
      <c r="G451" t="s">
        <v>384</v>
      </c>
      <c r="H451" t="s">
        <v>384</v>
      </c>
      <c r="I451" t="s">
        <v>30</v>
      </c>
      <c r="J451" t="s">
        <v>1623</v>
      </c>
      <c r="K451" t="str">
        <f>"4"</f>
        <v>4</v>
      </c>
      <c r="L451" t="str">
        <f>"11"</f>
        <v>11</v>
      </c>
      <c r="M451" t="str">
        <f>"41-400"</f>
        <v>41-400</v>
      </c>
      <c r="N451" t="str">
        <f>"798898678"</f>
        <v>798898678</v>
      </c>
      <c r="O451" t="s">
        <v>1624</v>
      </c>
      <c r="P451" t="s">
        <v>24</v>
      </c>
    </row>
    <row r="452" spans="1:16" hidden="1" x14ac:dyDescent="0.25">
      <c r="A452">
        <v>481536</v>
      </c>
      <c r="B452" t="str">
        <f>"527402443"</f>
        <v>527402443</v>
      </c>
      <c r="C452" t="s">
        <v>16</v>
      </c>
      <c r="D452" t="s">
        <v>1625</v>
      </c>
      <c r="E452" t="s">
        <v>27</v>
      </c>
      <c r="F452" t="s">
        <v>123</v>
      </c>
      <c r="G452" t="s">
        <v>124</v>
      </c>
      <c r="H452" t="s">
        <v>124</v>
      </c>
      <c r="I452" t="s">
        <v>42</v>
      </c>
      <c r="J452" t="s">
        <v>1626</v>
      </c>
      <c r="K452" t="str">
        <f>"26"</f>
        <v>26</v>
      </c>
      <c r="L452" t="str">
        <f>""</f>
        <v/>
      </c>
      <c r="M452" t="str">
        <f>"30-739"</f>
        <v>30-739</v>
      </c>
      <c r="N452" t="str">
        <f>"530481599"</f>
        <v>530481599</v>
      </c>
      <c r="O452" t="s">
        <v>1627</v>
      </c>
      <c r="P452" t="s">
        <v>24</v>
      </c>
    </row>
    <row r="453" spans="1:16" hidden="1" x14ac:dyDescent="0.25">
      <c r="A453">
        <v>479584</v>
      </c>
      <c r="B453" t="str">
        <f>"523824489"</f>
        <v>523824489</v>
      </c>
      <c r="C453" t="s">
        <v>16</v>
      </c>
      <c r="D453" t="s">
        <v>1628</v>
      </c>
      <c r="E453" t="s">
        <v>64</v>
      </c>
      <c r="F453" t="s">
        <v>65</v>
      </c>
      <c r="G453" t="s">
        <v>1629</v>
      </c>
      <c r="H453" t="s">
        <v>1630</v>
      </c>
      <c r="I453" t="s">
        <v>68</v>
      </c>
      <c r="J453" t="s">
        <v>1631</v>
      </c>
      <c r="K453" t="str">
        <f>"17a"</f>
        <v>17a</v>
      </c>
      <c r="L453" t="str">
        <f>"9"</f>
        <v>9</v>
      </c>
      <c r="M453" t="str">
        <f>"55-002"</f>
        <v>55-002</v>
      </c>
      <c r="N453" t="str">
        <f>""</f>
        <v/>
      </c>
      <c r="O453" t="s">
        <v>1632</v>
      </c>
      <c r="P453" t="s">
        <v>24</v>
      </c>
    </row>
    <row r="454" spans="1:16" hidden="1" x14ac:dyDescent="0.25">
      <c r="A454">
        <v>275497</v>
      </c>
      <c r="B454" t="str">
        <f>"386926066"</f>
        <v>386926066</v>
      </c>
      <c r="C454" t="s">
        <v>16</v>
      </c>
      <c r="D454" t="s">
        <v>1633</v>
      </c>
      <c r="E454" t="s">
        <v>18</v>
      </c>
      <c r="F454" t="s">
        <v>19</v>
      </c>
      <c r="G454" t="s">
        <v>1345</v>
      </c>
      <c r="H454" t="s">
        <v>1345</v>
      </c>
      <c r="I454" t="s">
        <v>21</v>
      </c>
      <c r="J454" t="s">
        <v>1634</v>
      </c>
      <c r="K454" t="str">
        <f>"114"</f>
        <v>114</v>
      </c>
      <c r="L454" t="str">
        <f>"u5"</f>
        <v>u5</v>
      </c>
      <c r="M454" t="str">
        <f>"03-291"</f>
        <v>03-291</v>
      </c>
      <c r="N454" t="str">
        <f>"535588343"</f>
        <v>535588343</v>
      </c>
      <c r="O454" t="s">
        <v>1635</v>
      </c>
      <c r="P454" t="s">
        <v>24</v>
      </c>
    </row>
    <row r="455" spans="1:16" hidden="1" x14ac:dyDescent="0.25">
      <c r="A455">
        <v>277552</v>
      </c>
      <c r="B455" t="str">
        <f>"389098747"</f>
        <v>389098747</v>
      </c>
      <c r="C455" t="s">
        <v>16</v>
      </c>
      <c r="D455" t="s">
        <v>1636</v>
      </c>
      <c r="E455" t="s">
        <v>18</v>
      </c>
      <c r="F455" t="s">
        <v>19</v>
      </c>
      <c r="G455" t="s">
        <v>149</v>
      </c>
      <c r="H455" t="s">
        <v>149</v>
      </c>
      <c r="I455" t="s">
        <v>21</v>
      </c>
      <c r="J455" t="s">
        <v>1637</v>
      </c>
      <c r="K455" t="str">
        <f>"53"</f>
        <v>53</v>
      </c>
      <c r="L455" t="str">
        <f>""</f>
        <v/>
      </c>
      <c r="M455" t="str">
        <f>"03-131"</f>
        <v>03-131</v>
      </c>
      <c r="N455" t="str">
        <f>"501076360"</f>
        <v>501076360</v>
      </c>
      <c r="O455" t="s">
        <v>1638</v>
      </c>
      <c r="P455" t="s">
        <v>24</v>
      </c>
    </row>
    <row r="456" spans="1:16" hidden="1" x14ac:dyDescent="0.25">
      <c r="A456">
        <v>129401</v>
      </c>
      <c r="B456" t="str">
        <f>"362584710"</f>
        <v>362584710</v>
      </c>
      <c r="C456" t="s">
        <v>16</v>
      </c>
      <c r="D456" t="s">
        <v>1639</v>
      </c>
      <c r="E456" t="s">
        <v>117</v>
      </c>
      <c r="F456" t="s">
        <v>382</v>
      </c>
      <c r="G456" t="s">
        <v>382</v>
      </c>
      <c r="H456" t="s">
        <v>382</v>
      </c>
      <c r="I456" t="s">
        <v>30</v>
      </c>
      <c r="J456" t="s">
        <v>138</v>
      </c>
      <c r="K456" t="str">
        <f>"22"</f>
        <v>22</v>
      </c>
      <c r="L456" t="str">
        <f>"1"</f>
        <v>1</v>
      </c>
      <c r="M456" t="str">
        <f>"40-092"</f>
        <v>40-092</v>
      </c>
      <c r="N456" t="str">
        <f>"327333703"</f>
        <v>327333703</v>
      </c>
      <c r="O456" t="s">
        <v>1640</v>
      </c>
      <c r="P456" t="s">
        <v>24</v>
      </c>
    </row>
    <row r="457" spans="1:16" hidden="1" x14ac:dyDescent="0.25">
      <c r="A457">
        <v>480735</v>
      </c>
      <c r="B457" t="str">
        <f>"526307949"</f>
        <v>526307949</v>
      </c>
      <c r="C457" t="s">
        <v>16</v>
      </c>
      <c r="D457" t="s">
        <v>1641</v>
      </c>
      <c r="E457" t="s">
        <v>64</v>
      </c>
      <c r="F457" t="s">
        <v>255</v>
      </c>
      <c r="G457" t="s">
        <v>256</v>
      </c>
      <c r="H457" t="s">
        <v>256</v>
      </c>
      <c r="I457" t="s">
        <v>42</v>
      </c>
      <c r="J457" t="s">
        <v>1247</v>
      </c>
      <c r="K457" t="str">
        <f>"62"</f>
        <v>62</v>
      </c>
      <c r="L457" t="str">
        <f>""</f>
        <v/>
      </c>
      <c r="M457" t="str">
        <f>"50-010"</f>
        <v>50-010</v>
      </c>
      <c r="N457" t="str">
        <f>"519589888"</f>
        <v>519589888</v>
      </c>
      <c r="O457" t="s">
        <v>1642</v>
      </c>
      <c r="P457" t="s">
        <v>24</v>
      </c>
    </row>
    <row r="458" spans="1:16" hidden="1" x14ac:dyDescent="0.25">
      <c r="A458">
        <v>132461</v>
      </c>
      <c r="B458" t="str">
        <f>"365640538"</f>
        <v>365640538</v>
      </c>
      <c r="C458" t="s">
        <v>16</v>
      </c>
      <c r="D458" t="s">
        <v>1643</v>
      </c>
      <c r="E458" t="s">
        <v>64</v>
      </c>
      <c r="F458" t="s">
        <v>1185</v>
      </c>
      <c r="G458" t="s">
        <v>1185</v>
      </c>
      <c r="H458" t="s">
        <v>1185</v>
      </c>
      <c r="I458" t="s">
        <v>30</v>
      </c>
      <c r="J458" t="s">
        <v>1644</v>
      </c>
      <c r="K458" t="str">
        <f>"1"</f>
        <v>1</v>
      </c>
      <c r="L458" t="str">
        <f>""</f>
        <v/>
      </c>
      <c r="M458" t="str">
        <f>"59-220"</f>
        <v>59-220</v>
      </c>
      <c r="N458" t="str">
        <f>"664019386"</f>
        <v>664019386</v>
      </c>
      <c r="O458" t="s">
        <v>1645</v>
      </c>
      <c r="P458" t="s">
        <v>24</v>
      </c>
    </row>
    <row r="459" spans="1:16" hidden="1" x14ac:dyDescent="0.25">
      <c r="A459">
        <v>132120</v>
      </c>
      <c r="B459" t="str">
        <f>"365484280"</f>
        <v>365484280</v>
      </c>
      <c r="C459" t="s">
        <v>16</v>
      </c>
      <c r="D459" t="s">
        <v>1646</v>
      </c>
      <c r="E459" t="s">
        <v>18</v>
      </c>
      <c r="F459" t="s">
        <v>19</v>
      </c>
      <c r="G459" t="s">
        <v>93</v>
      </c>
      <c r="H459" t="s">
        <v>93</v>
      </c>
      <c r="I459" t="s">
        <v>21</v>
      </c>
      <c r="J459" t="s">
        <v>1647</v>
      </c>
      <c r="K459" t="str">
        <f>"19"</f>
        <v>19</v>
      </c>
      <c r="L459" t="str">
        <f>"U-6"</f>
        <v>U-6</v>
      </c>
      <c r="M459" t="str">
        <f>"01-864"</f>
        <v>01-864</v>
      </c>
      <c r="N459" t="str">
        <f>"570950518"</f>
        <v>570950518</v>
      </c>
      <c r="O459" t="s">
        <v>1648</v>
      </c>
      <c r="P459" t="s">
        <v>24</v>
      </c>
    </row>
    <row r="460" spans="1:16" hidden="1" x14ac:dyDescent="0.25">
      <c r="A460">
        <v>121351</v>
      </c>
      <c r="B460" t="str">
        <f>"341526100"</f>
        <v>341526100</v>
      </c>
      <c r="C460" t="s">
        <v>16</v>
      </c>
      <c r="D460" t="s">
        <v>1649</v>
      </c>
      <c r="E460" t="s">
        <v>181</v>
      </c>
      <c r="F460" t="s">
        <v>437</v>
      </c>
      <c r="G460" t="s">
        <v>437</v>
      </c>
      <c r="H460" t="s">
        <v>437</v>
      </c>
      <c r="I460" t="s">
        <v>30</v>
      </c>
      <c r="J460" t="s">
        <v>1389</v>
      </c>
      <c r="K460" t="str">
        <f>"123a"</f>
        <v>123a</v>
      </c>
      <c r="L460" t="str">
        <f>""</f>
        <v/>
      </c>
      <c r="M460" t="str">
        <f>"85-240"</f>
        <v>85-240</v>
      </c>
      <c r="N460" t="str">
        <f>"506972810"</f>
        <v>506972810</v>
      </c>
      <c r="O460" t="s">
        <v>1650</v>
      </c>
      <c r="P460" t="s">
        <v>24</v>
      </c>
    </row>
    <row r="461" spans="1:16" hidden="1" x14ac:dyDescent="0.25">
      <c r="A461">
        <v>479180</v>
      </c>
      <c r="B461" t="str">
        <f>"523230264"</f>
        <v>523230264</v>
      </c>
      <c r="C461" t="s">
        <v>16</v>
      </c>
      <c r="D461" t="s">
        <v>1651</v>
      </c>
      <c r="E461" t="s">
        <v>101</v>
      </c>
      <c r="F461" t="s">
        <v>102</v>
      </c>
      <c r="G461" t="s">
        <v>102</v>
      </c>
      <c r="H461" t="s">
        <v>102</v>
      </c>
      <c r="I461" t="s">
        <v>30</v>
      </c>
      <c r="J461" t="s">
        <v>1652</v>
      </c>
      <c r="K461" t="str">
        <f>"31A"</f>
        <v>31A</v>
      </c>
      <c r="L461" t="str">
        <f>"LU2"</f>
        <v>LU2</v>
      </c>
      <c r="M461" t="str">
        <f>"35-036"</f>
        <v>35-036</v>
      </c>
      <c r="N461" t="str">
        <f>"507790165"</f>
        <v>507790165</v>
      </c>
      <c r="P461" t="s">
        <v>24</v>
      </c>
    </row>
    <row r="462" spans="1:16" hidden="1" x14ac:dyDescent="0.25">
      <c r="A462">
        <v>276390</v>
      </c>
      <c r="B462" t="str">
        <f>"387115789"</f>
        <v>387115789</v>
      </c>
      <c r="C462" t="s">
        <v>16</v>
      </c>
      <c r="D462" t="s">
        <v>1653</v>
      </c>
      <c r="E462" t="s">
        <v>117</v>
      </c>
      <c r="F462" t="s">
        <v>213</v>
      </c>
      <c r="G462" t="s">
        <v>213</v>
      </c>
      <c r="H462" t="s">
        <v>213</v>
      </c>
      <c r="I462" t="s">
        <v>30</v>
      </c>
      <c r="J462" t="s">
        <v>1654</v>
      </c>
      <c r="K462" t="str">
        <f>"18"</f>
        <v>18</v>
      </c>
      <c r="L462" t="str">
        <f>""</f>
        <v/>
      </c>
      <c r="M462" t="str">
        <f>"44-122"</f>
        <v>44-122</v>
      </c>
      <c r="N462" t="str">
        <f>"663756750"</f>
        <v>663756750</v>
      </c>
      <c r="O462" t="s">
        <v>1655</v>
      </c>
      <c r="P462" t="s">
        <v>24</v>
      </c>
    </row>
    <row r="463" spans="1:16" hidden="1" x14ac:dyDescent="0.25">
      <c r="A463">
        <v>269979</v>
      </c>
      <c r="B463" t="str">
        <f>"381925145"</f>
        <v>381925145</v>
      </c>
      <c r="C463" t="s">
        <v>16</v>
      </c>
      <c r="D463" t="s">
        <v>1656</v>
      </c>
      <c r="E463" t="s">
        <v>39</v>
      </c>
      <c r="F463" t="s">
        <v>40</v>
      </c>
      <c r="G463" t="s">
        <v>1252</v>
      </c>
      <c r="H463" t="s">
        <v>1252</v>
      </c>
      <c r="I463" t="s">
        <v>42</v>
      </c>
      <c r="J463" t="s">
        <v>1657</v>
      </c>
      <c r="K463" t="str">
        <f>"4c"</f>
        <v>4c</v>
      </c>
      <c r="L463" t="str">
        <f>"28"</f>
        <v>28</v>
      </c>
      <c r="M463" t="str">
        <f>"90-364"</f>
        <v>90-364</v>
      </c>
      <c r="N463" t="str">
        <f>"660401501"</f>
        <v>660401501</v>
      </c>
      <c r="O463" t="s">
        <v>1658</v>
      </c>
      <c r="P463" t="s">
        <v>24</v>
      </c>
    </row>
    <row r="464" spans="1:16" hidden="1" x14ac:dyDescent="0.25">
      <c r="A464">
        <v>480927</v>
      </c>
      <c r="B464" t="str">
        <f>"526421125"</f>
        <v>526421125</v>
      </c>
      <c r="C464" t="s">
        <v>16</v>
      </c>
      <c r="D464" t="s">
        <v>1659</v>
      </c>
      <c r="E464" t="s">
        <v>181</v>
      </c>
      <c r="F464" t="s">
        <v>305</v>
      </c>
      <c r="G464" t="s">
        <v>305</v>
      </c>
      <c r="H464" t="s">
        <v>305</v>
      </c>
      <c r="I464" t="s">
        <v>30</v>
      </c>
      <c r="J464" t="s">
        <v>138</v>
      </c>
      <c r="K464" t="str">
        <f>"132"</f>
        <v>132</v>
      </c>
      <c r="L464" t="str">
        <f>""</f>
        <v/>
      </c>
      <c r="M464" t="str">
        <f>"87-100"</f>
        <v>87-100</v>
      </c>
      <c r="N464" t="str">
        <f>"500422413"</f>
        <v>500422413</v>
      </c>
      <c r="O464" t="s">
        <v>1660</v>
      </c>
      <c r="P464" t="s">
        <v>24</v>
      </c>
    </row>
    <row r="465" spans="1:16" hidden="1" x14ac:dyDescent="0.25">
      <c r="A465">
        <v>480881</v>
      </c>
      <c r="B465" t="str">
        <f>"526379742"</f>
        <v>526379742</v>
      </c>
      <c r="C465" t="s">
        <v>16</v>
      </c>
      <c r="D465" t="s">
        <v>1661</v>
      </c>
      <c r="E465" t="s">
        <v>416</v>
      </c>
      <c r="F465" t="s">
        <v>417</v>
      </c>
      <c r="G465" t="s">
        <v>417</v>
      </c>
      <c r="H465" t="s">
        <v>417</v>
      </c>
      <c r="I465" t="s">
        <v>30</v>
      </c>
      <c r="J465" t="s">
        <v>43</v>
      </c>
      <c r="K465" t="str">
        <f>"152A"</f>
        <v>152A</v>
      </c>
      <c r="L465" t="str">
        <f>""</f>
        <v/>
      </c>
      <c r="M465" t="str">
        <f>"45-837"</f>
        <v>45-837</v>
      </c>
      <c r="N465" t="str">
        <f>"600159090"</f>
        <v>600159090</v>
      </c>
      <c r="O465" t="s">
        <v>1662</v>
      </c>
      <c r="P465" t="s">
        <v>24</v>
      </c>
    </row>
    <row r="466" spans="1:16" hidden="1" x14ac:dyDescent="0.25">
      <c r="A466">
        <v>276698</v>
      </c>
      <c r="B466" t="str">
        <f>"387369580"</f>
        <v>387369580</v>
      </c>
      <c r="C466" t="s">
        <v>16</v>
      </c>
      <c r="D466" t="s">
        <v>1663</v>
      </c>
      <c r="E466" t="s">
        <v>117</v>
      </c>
      <c r="F466" t="s">
        <v>168</v>
      </c>
      <c r="G466" t="s">
        <v>168</v>
      </c>
      <c r="H466" t="s">
        <v>168</v>
      </c>
      <c r="I466" t="s">
        <v>30</v>
      </c>
      <c r="J466" t="s">
        <v>1664</v>
      </c>
      <c r="K466" t="str">
        <f>"5"</f>
        <v>5</v>
      </c>
      <c r="L466" t="str">
        <f>""</f>
        <v/>
      </c>
      <c r="M466" t="str">
        <f>"43-300"</f>
        <v>43-300</v>
      </c>
      <c r="N466" t="str">
        <f>"791721224"</f>
        <v>791721224</v>
      </c>
      <c r="P466" t="s">
        <v>24</v>
      </c>
    </row>
    <row r="467" spans="1:16" hidden="1" x14ac:dyDescent="0.25">
      <c r="A467">
        <v>30219</v>
      </c>
      <c r="B467" t="str">
        <f>"146346610"</f>
        <v>146346610</v>
      </c>
      <c r="C467" t="s">
        <v>16</v>
      </c>
      <c r="D467" t="s">
        <v>1665</v>
      </c>
      <c r="E467" t="s">
        <v>18</v>
      </c>
      <c r="F467" t="s">
        <v>106</v>
      </c>
      <c r="G467" t="s">
        <v>107</v>
      </c>
      <c r="H467" t="s">
        <v>107</v>
      </c>
      <c r="I467" t="s">
        <v>30</v>
      </c>
      <c r="J467" t="s">
        <v>1666</v>
      </c>
      <c r="K467" t="str">
        <f>"11"</f>
        <v>11</v>
      </c>
      <c r="L467" t="str">
        <f>"83"</f>
        <v>83</v>
      </c>
      <c r="M467" t="str">
        <f>"05-500"</f>
        <v>05-500</v>
      </c>
      <c r="N467" t="str">
        <f>"224145218"</f>
        <v>224145218</v>
      </c>
      <c r="O467" t="s">
        <v>1667</v>
      </c>
      <c r="P467" t="s">
        <v>24</v>
      </c>
    </row>
    <row r="468" spans="1:16" hidden="1" x14ac:dyDescent="0.25">
      <c r="A468">
        <v>124320</v>
      </c>
      <c r="B468" t="str">
        <f>"222148297"</f>
        <v>222148297</v>
      </c>
      <c r="C468" t="s">
        <v>16</v>
      </c>
      <c r="D468" t="s">
        <v>1668</v>
      </c>
      <c r="E468" t="s">
        <v>80</v>
      </c>
      <c r="F468" t="s">
        <v>145</v>
      </c>
      <c r="G468" t="s">
        <v>395</v>
      </c>
      <c r="H468" t="s">
        <v>395</v>
      </c>
      <c r="I468" t="s">
        <v>30</v>
      </c>
      <c r="J468" t="s">
        <v>994</v>
      </c>
      <c r="K468" t="str">
        <f>"16"</f>
        <v>16</v>
      </c>
      <c r="L468" t="str">
        <f>""</f>
        <v/>
      </c>
      <c r="M468" t="str">
        <f>"84-230"</f>
        <v>84-230</v>
      </c>
      <c r="N468" t="str">
        <f>"587362075"</f>
        <v>587362075</v>
      </c>
      <c r="O468" t="s">
        <v>644</v>
      </c>
      <c r="P468" t="s">
        <v>24</v>
      </c>
    </row>
    <row r="469" spans="1:16" hidden="1" x14ac:dyDescent="0.25">
      <c r="A469">
        <v>129967</v>
      </c>
      <c r="B469" t="str">
        <f>"363190870"</f>
        <v>363190870</v>
      </c>
      <c r="C469" t="s">
        <v>16</v>
      </c>
      <c r="D469" t="s">
        <v>1669</v>
      </c>
      <c r="E469" t="s">
        <v>112</v>
      </c>
      <c r="F469" t="s">
        <v>1670</v>
      </c>
      <c r="G469" t="s">
        <v>1671</v>
      </c>
      <c r="H469" t="s">
        <v>1671</v>
      </c>
      <c r="I469" t="s">
        <v>30</v>
      </c>
      <c r="J469" t="s">
        <v>1672</v>
      </c>
      <c r="K469" t="str">
        <f>"5"</f>
        <v>5</v>
      </c>
      <c r="L469" t="str">
        <f>"9"</f>
        <v>9</v>
      </c>
      <c r="M469" t="str">
        <f>"24-100"</f>
        <v>24-100</v>
      </c>
      <c r="N469" t="str">
        <f>"534633324"</f>
        <v>534633324</v>
      </c>
      <c r="O469" t="s">
        <v>1673</v>
      </c>
      <c r="P469" t="s">
        <v>24</v>
      </c>
    </row>
    <row r="470" spans="1:16" hidden="1" x14ac:dyDescent="0.25">
      <c r="A470">
        <v>277933</v>
      </c>
      <c r="B470" t="str">
        <f>"389697979"</f>
        <v>389697979</v>
      </c>
      <c r="C470" t="s">
        <v>16</v>
      </c>
      <c r="D470" t="s">
        <v>1674</v>
      </c>
      <c r="E470" t="s">
        <v>112</v>
      </c>
      <c r="F470" t="s">
        <v>1675</v>
      </c>
      <c r="G470" t="s">
        <v>1676</v>
      </c>
      <c r="H470" t="s">
        <v>1676</v>
      </c>
      <c r="I470" t="s">
        <v>30</v>
      </c>
      <c r="J470" t="s">
        <v>881</v>
      </c>
      <c r="K470" t="str">
        <f>"11"</f>
        <v>11</v>
      </c>
      <c r="L470" t="str">
        <f>""</f>
        <v/>
      </c>
      <c r="M470" t="str">
        <f>"22-500"</f>
        <v>22-500</v>
      </c>
      <c r="N470" t="str">
        <f>"790529590"</f>
        <v>790529590</v>
      </c>
      <c r="O470" t="s">
        <v>1677</v>
      </c>
      <c r="P470" t="s">
        <v>24</v>
      </c>
    </row>
    <row r="471" spans="1:16" hidden="1" x14ac:dyDescent="0.25">
      <c r="A471">
        <v>130395</v>
      </c>
      <c r="B471" t="str">
        <f>"363961379"</f>
        <v>363961379</v>
      </c>
      <c r="C471" t="s">
        <v>16</v>
      </c>
      <c r="D471" t="s">
        <v>1678</v>
      </c>
      <c r="E471" t="s">
        <v>80</v>
      </c>
      <c r="F471" t="s">
        <v>1105</v>
      </c>
      <c r="G471" t="s">
        <v>1106</v>
      </c>
      <c r="H471" t="s">
        <v>1106</v>
      </c>
      <c r="I471" t="s">
        <v>30</v>
      </c>
      <c r="J471" t="s">
        <v>741</v>
      </c>
      <c r="K471" t="str">
        <f>"2"</f>
        <v>2</v>
      </c>
      <c r="L471" t="str">
        <f>""</f>
        <v/>
      </c>
      <c r="M471" t="str">
        <f>"83-000"</f>
        <v>83-000</v>
      </c>
      <c r="N471" t="str">
        <f>"796578944"</f>
        <v>796578944</v>
      </c>
      <c r="O471" t="s">
        <v>1679</v>
      </c>
      <c r="P471" t="s">
        <v>24</v>
      </c>
    </row>
    <row r="472" spans="1:16" hidden="1" x14ac:dyDescent="0.25">
      <c r="A472">
        <v>119407</v>
      </c>
      <c r="B472" t="str">
        <f>"221946559"</f>
        <v>221946559</v>
      </c>
      <c r="C472" t="s">
        <v>16</v>
      </c>
      <c r="D472" t="s">
        <v>1680</v>
      </c>
      <c r="E472" t="s">
        <v>80</v>
      </c>
      <c r="F472" t="s">
        <v>145</v>
      </c>
      <c r="G472" t="s">
        <v>395</v>
      </c>
      <c r="H472" t="s">
        <v>395</v>
      </c>
      <c r="I472" t="s">
        <v>30</v>
      </c>
      <c r="J472" t="s">
        <v>1681</v>
      </c>
      <c r="K472" t="str">
        <f>"5"</f>
        <v>5</v>
      </c>
      <c r="L472" t="str">
        <f>""</f>
        <v/>
      </c>
      <c r="M472" t="str">
        <f>"84-230"</f>
        <v>84-230</v>
      </c>
      <c r="N472" t="str">
        <f>"533256625"</f>
        <v>533256625</v>
      </c>
      <c r="O472" t="s">
        <v>1682</v>
      </c>
      <c r="P472" t="s">
        <v>24</v>
      </c>
    </row>
    <row r="473" spans="1:16" hidden="1" x14ac:dyDescent="0.25">
      <c r="A473">
        <v>269880</v>
      </c>
      <c r="B473" t="str">
        <f>"381817421"</f>
        <v>381817421</v>
      </c>
      <c r="C473" t="s">
        <v>16</v>
      </c>
      <c r="D473" t="s">
        <v>1683</v>
      </c>
      <c r="E473" t="s">
        <v>39</v>
      </c>
      <c r="F473" t="s">
        <v>1191</v>
      </c>
      <c r="G473" t="s">
        <v>1192</v>
      </c>
      <c r="H473" t="s">
        <v>1192</v>
      </c>
      <c r="I473" t="s">
        <v>30</v>
      </c>
      <c r="J473" t="s">
        <v>1193</v>
      </c>
      <c r="K473" t="str">
        <f>"65"</f>
        <v>65</v>
      </c>
      <c r="L473" t="str">
        <f>""</f>
        <v/>
      </c>
      <c r="M473" t="str">
        <f>"26-300"</f>
        <v>26-300</v>
      </c>
      <c r="N473" t="str">
        <f>"789048376"</f>
        <v>789048376</v>
      </c>
      <c r="O473" t="s">
        <v>1684</v>
      </c>
      <c r="P473" t="s">
        <v>24</v>
      </c>
    </row>
    <row r="474" spans="1:16" hidden="1" x14ac:dyDescent="0.25">
      <c r="A474">
        <v>19002</v>
      </c>
      <c r="B474" t="str">
        <f>"061464309"</f>
        <v>061464309</v>
      </c>
      <c r="C474" t="s">
        <v>16</v>
      </c>
      <c r="D474" t="s">
        <v>1685</v>
      </c>
      <c r="E474" t="s">
        <v>112</v>
      </c>
      <c r="F474" t="s">
        <v>839</v>
      </c>
      <c r="G474" t="s">
        <v>839</v>
      </c>
      <c r="H474" t="s">
        <v>839</v>
      </c>
      <c r="I474" t="s">
        <v>30</v>
      </c>
      <c r="J474" t="s">
        <v>1193</v>
      </c>
      <c r="K474" t="str">
        <f>"27-29"</f>
        <v>27-29</v>
      </c>
      <c r="L474" t="str">
        <f>""</f>
        <v/>
      </c>
      <c r="M474" t="str">
        <f>"22-100"</f>
        <v>22-100</v>
      </c>
      <c r="N474" t="str">
        <f>"825648814"</f>
        <v>825648814</v>
      </c>
      <c r="O474" t="s">
        <v>1686</v>
      </c>
      <c r="P474" t="s">
        <v>24</v>
      </c>
    </row>
    <row r="475" spans="1:16" hidden="1" x14ac:dyDescent="0.25">
      <c r="A475">
        <v>481031</v>
      </c>
      <c r="B475" t="str">
        <f>"526473949"</f>
        <v>526473949</v>
      </c>
      <c r="C475" t="s">
        <v>16</v>
      </c>
      <c r="D475" t="s">
        <v>1687</v>
      </c>
      <c r="E475" t="s">
        <v>18</v>
      </c>
      <c r="F475" t="s">
        <v>19</v>
      </c>
      <c r="G475" t="s">
        <v>1688</v>
      </c>
      <c r="H475" t="s">
        <v>1688</v>
      </c>
      <c r="I475" t="s">
        <v>21</v>
      </c>
      <c r="J475" t="s">
        <v>1689</v>
      </c>
      <c r="K475" t="str">
        <f>"5"</f>
        <v>5</v>
      </c>
      <c r="L475" t="str">
        <f>""</f>
        <v/>
      </c>
      <c r="M475" t="str">
        <f>"04-474"</f>
        <v>04-474</v>
      </c>
      <c r="N475" t="str">
        <f>"783023999"</f>
        <v>783023999</v>
      </c>
      <c r="O475" t="s">
        <v>1690</v>
      </c>
      <c r="P475" t="s">
        <v>24</v>
      </c>
    </row>
    <row r="476" spans="1:16" hidden="1" x14ac:dyDescent="0.25">
      <c r="A476">
        <v>131518</v>
      </c>
      <c r="B476" t="str">
        <f>"365211955"</f>
        <v>365211955</v>
      </c>
      <c r="C476" t="s">
        <v>16</v>
      </c>
      <c r="D476" t="s">
        <v>1691</v>
      </c>
      <c r="E476" t="s">
        <v>157</v>
      </c>
      <c r="F476" t="s">
        <v>158</v>
      </c>
      <c r="G476" t="s">
        <v>928</v>
      </c>
      <c r="H476" t="s">
        <v>928</v>
      </c>
      <c r="I476" t="s">
        <v>42</v>
      </c>
      <c r="J476" t="s">
        <v>1692</v>
      </c>
      <c r="K476" t="str">
        <f>"11"</f>
        <v>11</v>
      </c>
      <c r="L476" t="str">
        <f>""</f>
        <v/>
      </c>
      <c r="M476" t="str">
        <f>"61-845"</f>
        <v>61-845</v>
      </c>
      <c r="N476" t="str">
        <f>"501710410"</f>
        <v>501710410</v>
      </c>
      <c r="P476" t="s">
        <v>24</v>
      </c>
    </row>
    <row r="477" spans="1:16" hidden="1" x14ac:dyDescent="0.25">
      <c r="A477">
        <v>263680</v>
      </c>
      <c r="B477" t="str">
        <f>"368216976"</f>
        <v>368216976</v>
      </c>
      <c r="C477" t="s">
        <v>16</v>
      </c>
      <c r="D477" t="s">
        <v>1693</v>
      </c>
      <c r="E477" t="s">
        <v>18</v>
      </c>
      <c r="F477" t="s">
        <v>1694</v>
      </c>
      <c r="G477" t="s">
        <v>1695</v>
      </c>
      <c r="H477" t="s">
        <v>1695</v>
      </c>
      <c r="I477" t="s">
        <v>30</v>
      </c>
      <c r="J477" t="s">
        <v>1696</v>
      </c>
      <c r="K477" t="str">
        <f>"2"</f>
        <v>2</v>
      </c>
      <c r="L477" t="str">
        <f>""</f>
        <v/>
      </c>
      <c r="M477" t="str">
        <f>"06-100"</f>
        <v>06-100</v>
      </c>
      <c r="N477" t="str">
        <f>"790447667"</f>
        <v>790447667</v>
      </c>
      <c r="O477" t="s">
        <v>1697</v>
      </c>
      <c r="P477" t="s">
        <v>24</v>
      </c>
    </row>
    <row r="478" spans="1:16" hidden="1" x14ac:dyDescent="0.25">
      <c r="A478">
        <v>272721</v>
      </c>
      <c r="B478" t="str">
        <f>"384280909"</f>
        <v>384280909</v>
      </c>
      <c r="C478" t="s">
        <v>16</v>
      </c>
      <c r="D478" t="s">
        <v>1699</v>
      </c>
      <c r="E478" t="s">
        <v>39</v>
      </c>
      <c r="F478" t="s">
        <v>40</v>
      </c>
      <c r="G478" t="s">
        <v>815</v>
      </c>
      <c r="H478" t="s">
        <v>815</v>
      </c>
      <c r="I478" t="s">
        <v>42</v>
      </c>
      <c r="J478" t="s">
        <v>1700</v>
      </c>
      <c r="K478" t="str">
        <f>"198"</f>
        <v>198</v>
      </c>
      <c r="L478" t="str">
        <f>""</f>
        <v/>
      </c>
      <c r="M478" t="str">
        <f>"93-317"</f>
        <v>93-317</v>
      </c>
      <c r="N478" t="str">
        <f>"573238081"</f>
        <v>573238081</v>
      </c>
      <c r="O478" t="s">
        <v>1701</v>
      </c>
      <c r="P478" t="s">
        <v>24</v>
      </c>
    </row>
    <row r="479" spans="1:16" hidden="1" x14ac:dyDescent="0.25">
      <c r="A479">
        <v>273852</v>
      </c>
      <c r="B479" t="str">
        <f>"384748420"</f>
        <v>384748420</v>
      </c>
      <c r="C479" t="s">
        <v>16</v>
      </c>
      <c r="D479" t="s">
        <v>1702</v>
      </c>
      <c r="E479" t="s">
        <v>18</v>
      </c>
      <c r="F479" t="s">
        <v>19</v>
      </c>
      <c r="G479" t="s">
        <v>905</v>
      </c>
      <c r="H479" t="s">
        <v>905</v>
      </c>
      <c r="I479" t="s">
        <v>21</v>
      </c>
      <c r="J479" t="s">
        <v>1703</v>
      </c>
      <c r="K479" t="str">
        <f>"18"</f>
        <v>18</v>
      </c>
      <c r="L479" t="str">
        <f>""</f>
        <v/>
      </c>
      <c r="M479" t="str">
        <f>"01-163"</f>
        <v>01-163</v>
      </c>
      <c r="N479" t="str">
        <f>"501765233"</f>
        <v>501765233</v>
      </c>
      <c r="P479" t="s">
        <v>24</v>
      </c>
    </row>
    <row r="480" spans="1:16" hidden="1" x14ac:dyDescent="0.25">
      <c r="A480">
        <v>120771</v>
      </c>
      <c r="B480" t="str">
        <f>"146962846"</f>
        <v>146962846</v>
      </c>
      <c r="C480" t="s">
        <v>16</v>
      </c>
      <c r="D480" t="s">
        <v>1704</v>
      </c>
      <c r="E480" t="s">
        <v>18</v>
      </c>
      <c r="F480" t="s">
        <v>1137</v>
      </c>
      <c r="G480" t="s">
        <v>1138</v>
      </c>
      <c r="H480" t="s">
        <v>1138</v>
      </c>
      <c r="I480" t="s">
        <v>30</v>
      </c>
      <c r="J480" t="s">
        <v>1705</v>
      </c>
      <c r="K480" t="str">
        <f>"27"</f>
        <v>27</v>
      </c>
      <c r="L480" t="str">
        <f>"U1"</f>
        <v>U1</v>
      </c>
      <c r="M480" t="str">
        <f>"05-850"</f>
        <v>05-850</v>
      </c>
      <c r="N480" t="str">
        <f>"723101101"</f>
        <v>723101101</v>
      </c>
      <c r="O480" t="s">
        <v>1706</v>
      </c>
      <c r="P480" t="s">
        <v>24</v>
      </c>
    </row>
    <row r="481" spans="1:16" hidden="1" x14ac:dyDescent="0.25">
      <c r="A481">
        <v>132687</v>
      </c>
      <c r="B481" t="str">
        <f>"366037956"</f>
        <v>366037956</v>
      </c>
      <c r="C481" t="s">
        <v>16</v>
      </c>
      <c r="D481" t="s">
        <v>1707</v>
      </c>
      <c r="E481" t="s">
        <v>117</v>
      </c>
      <c r="F481" t="s">
        <v>892</v>
      </c>
      <c r="G481" t="s">
        <v>892</v>
      </c>
      <c r="H481" t="s">
        <v>892</v>
      </c>
      <c r="I481" t="s">
        <v>30</v>
      </c>
      <c r="J481" t="s">
        <v>1708</v>
      </c>
      <c r="K481" t="str">
        <f>"8a"</f>
        <v>8a</v>
      </c>
      <c r="L481" t="str">
        <f>""</f>
        <v/>
      </c>
      <c r="M481" t="str">
        <f>"41-103"</f>
        <v>41-103</v>
      </c>
      <c r="N481" t="str">
        <f>"604708025"</f>
        <v>604708025</v>
      </c>
      <c r="O481" t="s">
        <v>1709</v>
      </c>
      <c r="P481" t="s">
        <v>24</v>
      </c>
    </row>
    <row r="482" spans="1:16" hidden="1" x14ac:dyDescent="0.25">
      <c r="A482">
        <v>481136</v>
      </c>
      <c r="B482" t="str">
        <f>"526535946"</f>
        <v>526535946</v>
      </c>
      <c r="C482" t="s">
        <v>16</v>
      </c>
      <c r="D482" t="s">
        <v>1710</v>
      </c>
      <c r="E482" t="s">
        <v>18</v>
      </c>
      <c r="F482" t="s">
        <v>19</v>
      </c>
      <c r="G482" t="s">
        <v>20</v>
      </c>
      <c r="H482" t="s">
        <v>20</v>
      </c>
      <c r="I482" t="s">
        <v>21</v>
      </c>
      <c r="J482" t="s">
        <v>962</v>
      </c>
      <c r="K482" t="str">
        <f>"491"</f>
        <v>491</v>
      </c>
      <c r="L482" t="str">
        <f>""</f>
        <v/>
      </c>
      <c r="M482" t="str">
        <f>"02-844"</f>
        <v>02-844</v>
      </c>
      <c r="N482" t="str">
        <f>"575700712"</f>
        <v>575700712</v>
      </c>
      <c r="O482" t="s">
        <v>1711</v>
      </c>
      <c r="P482" t="s">
        <v>24</v>
      </c>
    </row>
    <row r="483" spans="1:16" hidden="1" x14ac:dyDescent="0.25">
      <c r="A483">
        <v>127321</v>
      </c>
      <c r="B483" t="str">
        <f>"361354787"</f>
        <v>361354787</v>
      </c>
      <c r="C483" t="s">
        <v>16</v>
      </c>
      <c r="D483" t="s">
        <v>1712</v>
      </c>
      <c r="E483" t="s">
        <v>18</v>
      </c>
      <c r="F483" t="s">
        <v>19</v>
      </c>
      <c r="G483" t="s">
        <v>393</v>
      </c>
      <c r="H483" t="s">
        <v>393</v>
      </c>
      <c r="I483" t="s">
        <v>21</v>
      </c>
      <c r="J483" t="s">
        <v>1713</v>
      </c>
      <c r="K483" t="str">
        <f>"55"</f>
        <v>55</v>
      </c>
      <c r="L483" t="str">
        <f>"4"</f>
        <v>4</v>
      </c>
      <c r="M483" t="str">
        <f>"00-542"</f>
        <v>00-542</v>
      </c>
      <c r="N483" t="str">
        <f>"226270725"</f>
        <v>226270725</v>
      </c>
      <c r="O483" t="s">
        <v>1714</v>
      </c>
      <c r="P483" t="s">
        <v>24</v>
      </c>
    </row>
    <row r="484" spans="1:16" hidden="1" x14ac:dyDescent="0.25">
      <c r="A484">
        <v>277666</v>
      </c>
      <c r="B484" t="str">
        <f>"389304098"</f>
        <v>389304098</v>
      </c>
      <c r="C484" t="s">
        <v>16</v>
      </c>
      <c r="D484" t="s">
        <v>1715</v>
      </c>
      <c r="E484" t="s">
        <v>27</v>
      </c>
      <c r="F484" t="s">
        <v>622</v>
      </c>
      <c r="G484" t="s">
        <v>623</v>
      </c>
      <c r="H484" t="s">
        <v>623</v>
      </c>
      <c r="I484" t="s">
        <v>30</v>
      </c>
      <c r="J484" t="s">
        <v>1716</v>
      </c>
      <c r="K484" t="str">
        <f>"10F"</f>
        <v>10F</v>
      </c>
      <c r="L484" t="str">
        <f>""</f>
        <v/>
      </c>
      <c r="M484" t="str">
        <f>"34-700"</f>
        <v>34-700</v>
      </c>
      <c r="N484" t="str">
        <f>"572597510"</f>
        <v>572597510</v>
      </c>
      <c r="O484" t="s">
        <v>1717</v>
      </c>
      <c r="P484" t="s">
        <v>24</v>
      </c>
    </row>
    <row r="485" spans="1:16" hidden="1" x14ac:dyDescent="0.25">
      <c r="A485">
        <v>50285</v>
      </c>
      <c r="B485" t="str">
        <f>"146396105"</f>
        <v>146396105</v>
      </c>
      <c r="C485" t="s">
        <v>16</v>
      </c>
      <c r="D485" t="s">
        <v>1718</v>
      </c>
      <c r="E485" t="s">
        <v>18</v>
      </c>
      <c r="F485" t="s">
        <v>19</v>
      </c>
      <c r="G485" t="s">
        <v>273</v>
      </c>
      <c r="H485" t="s">
        <v>273</v>
      </c>
      <c r="I485" t="s">
        <v>21</v>
      </c>
      <c r="J485" t="s">
        <v>1719</v>
      </c>
      <c r="K485" t="str">
        <f>"29a"</f>
        <v>29a</v>
      </c>
      <c r="L485" t="str">
        <f>""</f>
        <v/>
      </c>
      <c r="M485" t="str">
        <f>"01-476"</f>
        <v>01-476</v>
      </c>
      <c r="N485" t="str">
        <f>"228613130"</f>
        <v>228613130</v>
      </c>
      <c r="O485" t="s">
        <v>1720</v>
      </c>
      <c r="P485" t="s">
        <v>24</v>
      </c>
    </row>
    <row r="486" spans="1:16" hidden="1" x14ac:dyDescent="0.25">
      <c r="A486">
        <v>132494</v>
      </c>
      <c r="B486" t="str">
        <f>"365678185"</f>
        <v>365678185</v>
      </c>
      <c r="C486" t="s">
        <v>16</v>
      </c>
      <c r="D486" t="s">
        <v>1721</v>
      </c>
      <c r="E486" t="s">
        <v>112</v>
      </c>
      <c r="F486" t="s">
        <v>113</v>
      </c>
      <c r="G486" t="s">
        <v>113</v>
      </c>
      <c r="H486" t="s">
        <v>113</v>
      </c>
      <c r="I486" t="s">
        <v>30</v>
      </c>
      <c r="J486" t="s">
        <v>1722</v>
      </c>
      <c r="K486" t="str">
        <f>"6A"</f>
        <v>6A</v>
      </c>
      <c r="L486" t="str">
        <f>""</f>
        <v/>
      </c>
      <c r="M486" t="str">
        <f>"20-086"</f>
        <v>20-086</v>
      </c>
      <c r="N486" t="str">
        <f>"575880550"</f>
        <v>575880550</v>
      </c>
      <c r="O486" t="s">
        <v>1723</v>
      </c>
      <c r="P486" t="s">
        <v>24</v>
      </c>
    </row>
    <row r="487" spans="1:16" hidden="1" x14ac:dyDescent="0.25">
      <c r="A487">
        <v>481436</v>
      </c>
      <c r="B487" t="str">
        <f>"527236387"</f>
        <v>527236387</v>
      </c>
      <c r="C487" t="s">
        <v>16</v>
      </c>
      <c r="D487" t="s">
        <v>1724</v>
      </c>
      <c r="E487" t="s">
        <v>157</v>
      </c>
      <c r="F487" t="s">
        <v>1303</v>
      </c>
      <c r="G487" t="s">
        <v>1304</v>
      </c>
      <c r="H487" t="s">
        <v>1725</v>
      </c>
      <c r="I487" t="s">
        <v>68</v>
      </c>
      <c r="J487" t="s">
        <v>1726</v>
      </c>
      <c r="K487" t="str">
        <f>"39"</f>
        <v>39</v>
      </c>
      <c r="L487" t="str">
        <f>""</f>
        <v/>
      </c>
      <c r="M487" t="str">
        <f>"63-100"</f>
        <v>63-100</v>
      </c>
      <c r="N487" t="str">
        <f>"693277080"</f>
        <v>693277080</v>
      </c>
      <c r="O487" t="s">
        <v>1727</v>
      </c>
      <c r="P487" t="s">
        <v>24</v>
      </c>
    </row>
    <row r="488" spans="1:16" hidden="1" x14ac:dyDescent="0.25">
      <c r="A488">
        <v>130854</v>
      </c>
      <c r="B488" t="str">
        <f>"364620500"</f>
        <v>364620500</v>
      </c>
      <c r="C488" t="s">
        <v>16</v>
      </c>
      <c r="D488" t="s">
        <v>1728</v>
      </c>
      <c r="E488" t="s">
        <v>39</v>
      </c>
      <c r="F488" t="s">
        <v>40</v>
      </c>
      <c r="G488" t="s">
        <v>815</v>
      </c>
      <c r="H488" t="s">
        <v>815</v>
      </c>
      <c r="I488" t="s">
        <v>42</v>
      </c>
      <c r="J488" t="s">
        <v>1729</v>
      </c>
      <c r="K488" t="str">
        <f>"11"</f>
        <v>11</v>
      </c>
      <c r="L488" t="str">
        <f>""</f>
        <v/>
      </c>
      <c r="M488" t="str">
        <f>"93-192"</f>
        <v>93-192</v>
      </c>
      <c r="N488" t="str">
        <f>"516890460"</f>
        <v>516890460</v>
      </c>
      <c r="O488" t="s">
        <v>1730</v>
      </c>
      <c r="P488" t="s">
        <v>24</v>
      </c>
    </row>
    <row r="489" spans="1:16" hidden="1" x14ac:dyDescent="0.25">
      <c r="A489">
        <v>480695</v>
      </c>
      <c r="B489" t="str">
        <f>"526277384"</f>
        <v>526277384</v>
      </c>
      <c r="C489" t="s">
        <v>16</v>
      </c>
      <c r="D489" t="s">
        <v>1731</v>
      </c>
      <c r="E489" t="s">
        <v>74</v>
      </c>
      <c r="F489" t="s">
        <v>1022</v>
      </c>
      <c r="G489" t="s">
        <v>1023</v>
      </c>
      <c r="H489" t="s">
        <v>1023</v>
      </c>
      <c r="I489" t="s">
        <v>30</v>
      </c>
      <c r="J489" t="s">
        <v>1024</v>
      </c>
      <c r="K489" t="str">
        <f>"106"</f>
        <v>106</v>
      </c>
      <c r="L489" t="str">
        <f>""</f>
        <v/>
      </c>
      <c r="M489" t="str">
        <f>"28-100"</f>
        <v>28-100</v>
      </c>
      <c r="N489" t="str">
        <f>"798255843"</f>
        <v>798255843</v>
      </c>
      <c r="O489" t="s">
        <v>1732</v>
      </c>
      <c r="P489" t="s">
        <v>24</v>
      </c>
    </row>
    <row r="490" spans="1:16" hidden="1" x14ac:dyDescent="0.25">
      <c r="A490">
        <v>278331</v>
      </c>
      <c r="B490" t="str">
        <f>"389862585"</f>
        <v>389862585</v>
      </c>
      <c r="C490" t="s">
        <v>16</v>
      </c>
      <c r="D490" t="s">
        <v>1733</v>
      </c>
      <c r="E490" t="s">
        <v>27</v>
      </c>
      <c r="F490" t="s">
        <v>123</v>
      </c>
      <c r="G490" t="s">
        <v>278</v>
      </c>
      <c r="H490" t="s">
        <v>278</v>
      </c>
      <c r="I490" t="s">
        <v>42</v>
      </c>
      <c r="J490" t="s">
        <v>1734</v>
      </c>
      <c r="K490" t="str">
        <f>"6"</f>
        <v>6</v>
      </c>
      <c r="L490" t="str">
        <f>""</f>
        <v/>
      </c>
      <c r="M490" t="str">
        <f>"31-711"</f>
        <v>31-711</v>
      </c>
      <c r="N490" t="str">
        <f>"603370559"</f>
        <v>603370559</v>
      </c>
      <c r="O490" t="s">
        <v>1735</v>
      </c>
      <c r="P490" t="s">
        <v>24</v>
      </c>
    </row>
    <row r="491" spans="1:16" hidden="1" x14ac:dyDescent="0.25">
      <c r="A491">
        <v>129727</v>
      </c>
      <c r="B491" t="str">
        <f>"362796145"</f>
        <v>362796145</v>
      </c>
      <c r="C491" t="s">
        <v>16</v>
      </c>
      <c r="D491" t="s">
        <v>1736</v>
      </c>
      <c r="E491" t="s">
        <v>18</v>
      </c>
      <c r="F491" t="s">
        <v>106</v>
      </c>
      <c r="G491" t="s">
        <v>1737</v>
      </c>
      <c r="H491" t="s">
        <v>1738</v>
      </c>
      <c r="I491" t="s">
        <v>68</v>
      </c>
      <c r="J491" t="s">
        <v>1739</v>
      </c>
      <c r="K491" t="str">
        <f>"1A"</f>
        <v>1A</v>
      </c>
      <c r="L491" t="str">
        <f>"5"</f>
        <v>5</v>
      </c>
      <c r="M491" t="str">
        <f>"05-540"</f>
        <v>05-540</v>
      </c>
      <c r="N491" t="str">
        <f>"609146175"</f>
        <v>609146175</v>
      </c>
      <c r="O491" t="s">
        <v>1740</v>
      </c>
      <c r="P491" t="s">
        <v>24</v>
      </c>
    </row>
    <row r="492" spans="1:16" hidden="1" x14ac:dyDescent="0.25">
      <c r="A492">
        <v>90262</v>
      </c>
      <c r="B492" t="str">
        <f>"180914826"</f>
        <v>180914826</v>
      </c>
      <c r="C492" t="s">
        <v>16</v>
      </c>
      <c r="D492" t="s">
        <v>1741</v>
      </c>
      <c r="E492" t="s">
        <v>101</v>
      </c>
      <c r="F492" t="s">
        <v>102</v>
      </c>
      <c r="G492" t="s">
        <v>102</v>
      </c>
      <c r="H492" t="s">
        <v>102</v>
      </c>
      <c r="I492" t="s">
        <v>30</v>
      </c>
      <c r="J492" t="s">
        <v>1193</v>
      </c>
      <c r="K492" t="str">
        <f>"1a"</f>
        <v>1a</v>
      </c>
      <c r="L492" t="str">
        <f>""</f>
        <v/>
      </c>
      <c r="M492" t="str">
        <f>"35-234"</f>
        <v>35-234</v>
      </c>
      <c r="N492" t="str">
        <f>"017861224"</f>
        <v>017861224</v>
      </c>
      <c r="O492" t="s">
        <v>1742</v>
      </c>
      <c r="P492" t="s">
        <v>24</v>
      </c>
    </row>
    <row r="493" spans="1:16" hidden="1" x14ac:dyDescent="0.25">
      <c r="A493">
        <v>267135</v>
      </c>
      <c r="B493" t="str">
        <f>"369951873"</f>
        <v>369951873</v>
      </c>
      <c r="C493" t="s">
        <v>16</v>
      </c>
      <c r="D493" t="s">
        <v>1743</v>
      </c>
      <c r="E493" t="s">
        <v>101</v>
      </c>
      <c r="F493" t="s">
        <v>1744</v>
      </c>
      <c r="G493" t="s">
        <v>1745</v>
      </c>
      <c r="H493" t="s">
        <v>1746</v>
      </c>
      <c r="I493" t="s">
        <v>68</v>
      </c>
      <c r="K493" t="str">
        <f>"53"</f>
        <v>53</v>
      </c>
      <c r="L493" t="str">
        <f>""</f>
        <v/>
      </c>
      <c r="M493" t="str">
        <f>"36-020"</f>
        <v>36-020</v>
      </c>
      <c r="N493" t="str">
        <f>"177796326"</f>
        <v>177796326</v>
      </c>
      <c r="P493" t="s">
        <v>24</v>
      </c>
    </row>
    <row r="494" spans="1:16" hidden="1" x14ac:dyDescent="0.25">
      <c r="A494">
        <v>269716</v>
      </c>
      <c r="B494" t="str">
        <f>"381697678"</f>
        <v>381697678</v>
      </c>
      <c r="C494" t="s">
        <v>16</v>
      </c>
      <c r="D494" t="s">
        <v>1747</v>
      </c>
      <c r="E494" t="s">
        <v>27</v>
      </c>
      <c r="F494" t="s">
        <v>196</v>
      </c>
      <c r="G494" t="s">
        <v>196</v>
      </c>
      <c r="H494" t="s">
        <v>196</v>
      </c>
      <c r="I494" t="s">
        <v>30</v>
      </c>
      <c r="J494" t="s">
        <v>243</v>
      </c>
      <c r="K494" t="str">
        <f>"27"</f>
        <v>27</v>
      </c>
      <c r="L494" t="str">
        <f>""</f>
        <v/>
      </c>
      <c r="M494" t="str">
        <f>"33-300"</f>
        <v>33-300</v>
      </c>
      <c r="N494" t="str">
        <f>"184499260"</f>
        <v>184499260</v>
      </c>
      <c r="O494" t="s">
        <v>1748</v>
      </c>
      <c r="P494" t="s">
        <v>24</v>
      </c>
    </row>
    <row r="495" spans="1:16" hidden="1" x14ac:dyDescent="0.25">
      <c r="A495">
        <v>49897</v>
      </c>
      <c r="B495" t="str">
        <f>"146367931"</f>
        <v>146367931</v>
      </c>
      <c r="C495" t="s">
        <v>16</v>
      </c>
      <c r="D495" t="s">
        <v>1749</v>
      </c>
      <c r="E495" t="s">
        <v>18</v>
      </c>
      <c r="F495" t="s">
        <v>19</v>
      </c>
      <c r="G495" t="s">
        <v>393</v>
      </c>
      <c r="H495" t="s">
        <v>393</v>
      </c>
      <c r="I495" t="s">
        <v>21</v>
      </c>
      <c r="J495" t="s">
        <v>1750</v>
      </c>
      <c r="K495" t="str">
        <f>"5"</f>
        <v>5</v>
      </c>
      <c r="L495" t="str">
        <f>""</f>
        <v/>
      </c>
      <c r="M495" t="str">
        <f>"00-162"</f>
        <v>00-162</v>
      </c>
      <c r="N495" t="str">
        <f>"600526383"</f>
        <v>600526383</v>
      </c>
      <c r="O495" t="s">
        <v>1751</v>
      </c>
      <c r="P495" t="s">
        <v>24</v>
      </c>
    </row>
    <row r="496" spans="1:16" hidden="1" x14ac:dyDescent="0.25">
      <c r="A496">
        <v>477994</v>
      </c>
      <c r="B496" t="str">
        <f>"521988560"</f>
        <v>521988560</v>
      </c>
      <c r="C496" t="s">
        <v>16</v>
      </c>
      <c r="D496" t="s">
        <v>1752</v>
      </c>
      <c r="E496" t="s">
        <v>74</v>
      </c>
      <c r="F496" t="s">
        <v>1753</v>
      </c>
      <c r="G496" t="s">
        <v>1754</v>
      </c>
      <c r="H496" t="s">
        <v>1754</v>
      </c>
      <c r="I496" t="s">
        <v>30</v>
      </c>
      <c r="J496" t="s">
        <v>1755</v>
      </c>
      <c r="K496" t="str">
        <f>"7A"</f>
        <v>7A</v>
      </c>
      <c r="L496" t="str">
        <f>""</f>
        <v/>
      </c>
      <c r="M496" t="str">
        <f>"28-300"</f>
        <v>28-300</v>
      </c>
      <c r="N496" t="str">
        <f>"691272107"</f>
        <v>691272107</v>
      </c>
      <c r="O496" t="s">
        <v>1756</v>
      </c>
      <c r="P496" t="s">
        <v>24</v>
      </c>
    </row>
    <row r="497" spans="1:16" hidden="1" x14ac:dyDescent="0.25">
      <c r="A497">
        <v>131831</v>
      </c>
      <c r="B497" t="str">
        <f>"365359994"</f>
        <v>365359994</v>
      </c>
      <c r="C497" t="s">
        <v>16</v>
      </c>
      <c r="D497" t="s">
        <v>1757</v>
      </c>
      <c r="E497" t="s">
        <v>389</v>
      </c>
      <c r="F497" t="s">
        <v>447</v>
      </c>
      <c r="G497" t="s">
        <v>447</v>
      </c>
      <c r="H497" t="s">
        <v>447</v>
      </c>
      <c r="I497" t="s">
        <v>30</v>
      </c>
      <c r="J497" t="s">
        <v>43</v>
      </c>
      <c r="K497" t="str">
        <f>"2"</f>
        <v>2</v>
      </c>
      <c r="L497" t="str">
        <f>"2"</f>
        <v>2</v>
      </c>
      <c r="M497" t="str">
        <f>"10-274"</f>
        <v>10-274</v>
      </c>
      <c r="N497" t="str">
        <f>"796040201"</f>
        <v>796040201</v>
      </c>
      <c r="O497" t="s">
        <v>1758</v>
      </c>
      <c r="P497" t="s">
        <v>24</v>
      </c>
    </row>
    <row r="498" spans="1:16" hidden="1" x14ac:dyDescent="0.25">
      <c r="A498">
        <v>131959</v>
      </c>
      <c r="B498" t="str">
        <f>"365398215"</f>
        <v>365398215</v>
      </c>
      <c r="C498" t="s">
        <v>16</v>
      </c>
      <c r="D498" t="s">
        <v>1759</v>
      </c>
      <c r="E498" t="s">
        <v>97</v>
      </c>
      <c r="F498" t="s">
        <v>98</v>
      </c>
      <c r="G498" t="s">
        <v>98</v>
      </c>
      <c r="H498" t="s">
        <v>98</v>
      </c>
      <c r="I498" t="s">
        <v>30</v>
      </c>
      <c r="J498" t="s">
        <v>1760</v>
      </c>
      <c r="K498" t="str">
        <f>"36"</f>
        <v>36</v>
      </c>
      <c r="L498" t="str">
        <f>""</f>
        <v/>
      </c>
      <c r="M498" t="str">
        <f>"15-688"</f>
        <v>15-688</v>
      </c>
      <c r="N498" t="str">
        <f>"884010118"</f>
        <v>884010118</v>
      </c>
      <c r="O498" t="s">
        <v>1761</v>
      </c>
      <c r="P498" t="s">
        <v>24</v>
      </c>
    </row>
    <row r="499" spans="1:16" hidden="1" x14ac:dyDescent="0.25">
      <c r="A499">
        <v>479507</v>
      </c>
      <c r="B499" t="str">
        <f>"523633944"</f>
        <v>523633944</v>
      </c>
      <c r="C499" t="s">
        <v>16</v>
      </c>
      <c r="D499" t="s">
        <v>1762</v>
      </c>
      <c r="E499" t="s">
        <v>117</v>
      </c>
      <c r="F499" t="s">
        <v>1763</v>
      </c>
      <c r="G499" t="s">
        <v>1763</v>
      </c>
      <c r="H499" t="s">
        <v>1763</v>
      </c>
      <c r="I499" t="s">
        <v>30</v>
      </c>
      <c r="J499" t="s">
        <v>1764</v>
      </c>
      <c r="K499" t="str">
        <f>"4"</f>
        <v>4</v>
      </c>
      <c r="L499" t="str">
        <f>"1-3U"</f>
        <v>1-3U</v>
      </c>
      <c r="M499" t="str">
        <f>"41-800"</f>
        <v>41-800</v>
      </c>
      <c r="N499" t="str">
        <f>"666524240"</f>
        <v>666524240</v>
      </c>
      <c r="O499" t="s">
        <v>1765</v>
      </c>
      <c r="P499" t="s">
        <v>24</v>
      </c>
    </row>
    <row r="500" spans="1:16" hidden="1" x14ac:dyDescent="0.25">
      <c r="A500">
        <v>278927</v>
      </c>
      <c r="B500" t="str">
        <f>"520217151"</f>
        <v>520217151</v>
      </c>
      <c r="C500" t="s">
        <v>16</v>
      </c>
      <c r="D500" t="s">
        <v>1766</v>
      </c>
      <c r="E500" t="s">
        <v>117</v>
      </c>
      <c r="F500" t="s">
        <v>213</v>
      </c>
      <c r="G500" t="s">
        <v>213</v>
      </c>
      <c r="H500" t="s">
        <v>213</v>
      </c>
      <c r="I500" t="s">
        <v>30</v>
      </c>
      <c r="J500" t="s">
        <v>1132</v>
      </c>
      <c r="K500" t="str">
        <f>"154"</f>
        <v>154</v>
      </c>
      <c r="L500" t="str">
        <f>""</f>
        <v/>
      </c>
      <c r="M500" t="str">
        <f>"44-100"</f>
        <v>44-100</v>
      </c>
      <c r="N500" t="str">
        <f>"667289145"</f>
        <v>667289145</v>
      </c>
      <c r="O500" t="s">
        <v>1767</v>
      </c>
      <c r="P500" t="s">
        <v>24</v>
      </c>
    </row>
    <row r="501" spans="1:16" hidden="1" x14ac:dyDescent="0.25">
      <c r="A501">
        <v>480777</v>
      </c>
      <c r="B501" t="str">
        <f>"526309658"</f>
        <v>526309658</v>
      </c>
      <c r="C501" t="s">
        <v>16</v>
      </c>
      <c r="D501" t="s">
        <v>1768</v>
      </c>
      <c r="E501" t="s">
        <v>27</v>
      </c>
      <c r="F501" t="s">
        <v>123</v>
      </c>
      <c r="G501" t="s">
        <v>124</v>
      </c>
      <c r="H501" t="s">
        <v>124</v>
      </c>
      <c r="I501" t="s">
        <v>42</v>
      </c>
      <c r="J501" t="s">
        <v>1769</v>
      </c>
      <c r="K501" t="str">
        <f>"73/43"</f>
        <v>73/43</v>
      </c>
      <c r="L501" t="str">
        <f>""</f>
        <v/>
      </c>
      <c r="M501" t="str">
        <f>"30-619"</f>
        <v>30-619</v>
      </c>
      <c r="N501" t="str">
        <f>"793337370"</f>
        <v>793337370</v>
      </c>
      <c r="O501" t="s">
        <v>1770</v>
      </c>
      <c r="P501" t="s">
        <v>24</v>
      </c>
    </row>
    <row r="502" spans="1:16" hidden="1" x14ac:dyDescent="0.25">
      <c r="A502">
        <v>115281</v>
      </c>
      <c r="B502" t="str">
        <f>"146747119"</f>
        <v>146747119</v>
      </c>
      <c r="C502" t="s">
        <v>16</v>
      </c>
      <c r="D502" t="s">
        <v>1771</v>
      </c>
      <c r="E502" t="s">
        <v>18</v>
      </c>
      <c r="F502" t="s">
        <v>19</v>
      </c>
      <c r="G502" t="s">
        <v>20</v>
      </c>
      <c r="H502" t="s">
        <v>20</v>
      </c>
      <c r="I502" t="s">
        <v>21</v>
      </c>
      <c r="J502" t="s">
        <v>1772</v>
      </c>
      <c r="K502" t="str">
        <f>"29 C"</f>
        <v>29 C</v>
      </c>
      <c r="L502" t="str">
        <f>""</f>
        <v/>
      </c>
      <c r="M502" t="str">
        <f>"02-849"</f>
        <v>02-849</v>
      </c>
      <c r="N502" t="str">
        <f>"222702889"</f>
        <v>222702889</v>
      </c>
      <c r="O502" t="s">
        <v>1773</v>
      </c>
      <c r="P502" t="s">
        <v>24</v>
      </c>
    </row>
    <row r="503" spans="1:16" hidden="1" x14ac:dyDescent="0.25">
      <c r="A503">
        <v>276493</v>
      </c>
      <c r="B503" t="str">
        <f>"387161476"</f>
        <v>387161476</v>
      </c>
      <c r="C503" t="s">
        <v>16</v>
      </c>
      <c r="D503" t="s">
        <v>1774</v>
      </c>
      <c r="E503" t="s">
        <v>117</v>
      </c>
      <c r="F503" t="s">
        <v>1775</v>
      </c>
      <c r="G503" t="s">
        <v>1775</v>
      </c>
      <c r="H503" t="s">
        <v>1775</v>
      </c>
      <c r="I503" t="s">
        <v>30</v>
      </c>
      <c r="J503" t="s">
        <v>1776</v>
      </c>
      <c r="K503" t="str">
        <f>"1"</f>
        <v>1</v>
      </c>
      <c r="L503" t="str">
        <f>""</f>
        <v/>
      </c>
      <c r="M503" t="str">
        <f>"44-240"</f>
        <v>44-240</v>
      </c>
      <c r="N503" t="str">
        <f>"502725920"</f>
        <v>502725920</v>
      </c>
      <c r="O503" t="s">
        <v>1777</v>
      </c>
      <c r="P503" t="s">
        <v>24</v>
      </c>
    </row>
    <row r="504" spans="1:16" hidden="1" x14ac:dyDescent="0.25">
      <c r="A504">
        <v>129458</v>
      </c>
      <c r="B504" t="str">
        <f>"362620392"</f>
        <v>362620392</v>
      </c>
      <c r="C504" t="s">
        <v>16</v>
      </c>
      <c r="D504" t="s">
        <v>1778</v>
      </c>
      <c r="E504" t="s">
        <v>18</v>
      </c>
      <c r="F504" t="s">
        <v>106</v>
      </c>
      <c r="G504" t="s">
        <v>107</v>
      </c>
      <c r="H504" t="s">
        <v>107</v>
      </c>
      <c r="I504" t="s">
        <v>30</v>
      </c>
      <c r="J504" t="s">
        <v>1779</v>
      </c>
      <c r="K504" t="str">
        <f>"5"</f>
        <v>5</v>
      </c>
      <c r="L504" t="str">
        <f>""</f>
        <v/>
      </c>
      <c r="M504" t="str">
        <f>"05-502"</f>
        <v>05-502</v>
      </c>
      <c r="N504" t="str">
        <f>"511314012"</f>
        <v>511314012</v>
      </c>
      <c r="O504" t="s">
        <v>1780</v>
      </c>
      <c r="P504" t="s">
        <v>24</v>
      </c>
    </row>
    <row r="505" spans="1:16" hidden="1" x14ac:dyDescent="0.25">
      <c r="A505">
        <v>133684</v>
      </c>
      <c r="B505" t="str">
        <f>"367532920"</f>
        <v>367532920</v>
      </c>
      <c r="C505" t="s">
        <v>16</v>
      </c>
      <c r="D505" t="s">
        <v>1781</v>
      </c>
      <c r="E505" t="s">
        <v>39</v>
      </c>
      <c r="F505" t="s">
        <v>40</v>
      </c>
      <c r="G505" t="s">
        <v>815</v>
      </c>
      <c r="H505" t="s">
        <v>815</v>
      </c>
      <c r="I505" t="s">
        <v>42</v>
      </c>
      <c r="J505" t="s">
        <v>1782</v>
      </c>
      <c r="K505" t="str">
        <f>"3"</f>
        <v>3</v>
      </c>
      <c r="L505" t="str">
        <f>"1"</f>
        <v>1</v>
      </c>
      <c r="M505" t="str">
        <f>"93-411"</f>
        <v>93-411</v>
      </c>
      <c r="N505" t="str">
        <f>"697700906"</f>
        <v>697700906</v>
      </c>
      <c r="O505" t="s">
        <v>1783</v>
      </c>
      <c r="P505" t="s">
        <v>24</v>
      </c>
    </row>
    <row r="506" spans="1:16" hidden="1" x14ac:dyDescent="0.25">
      <c r="A506">
        <v>130489</v>
      </c>
      <c r="B506" t="str">
        <f>"364076930"</f>
        <v>364076930</v>
      </c>
      <c r="C506" t="s">
        <v>16</v>
      </c>
      <c r="D506" t="s">
        <v>1784</v>
      </c>
      <c r="E506" t="s">
        <v>112</v>
      </c>
      <c r="F506" t="s">
        <v>113</v>
      </c>
      <c r="G506" t="s">
        <v>113</v>
      </c>
      <c r="H506" t="s">
        <v>113</v>
      </c>
      <c r="I506" t="s">
        <v>30</v>
      </c>
      <c r="J506" t="s">
        <v>1146</v>
      </c>
      <c r="K506" t="str">
        <f>"24"</f>
        <v>24</v>
      </c>
      <c r="L506" t="str">
        <f>""</f>
        <v/>
      </c>
      <c r="M506" t="str">
        <f>"20-538"</f>
        <v>20-538</v>
      </c>
      <c r="N506" t="str">
        <f>"514768615"</f>
        <v>514768615</v>
      </c>
      <c r="O506" t="s">
        <v>1785</v>
      </c>
      <c r="P506" t="s">
        <v>24</v>
      </c>
    </row>
    <row r="507" spans="1:16" hidden="1" x14ac:dyDescent="0.25">
      <c r="A507">
        <v>276607</v>
      </c>
      <c r="B507" t="str">
        <f>"387277003"</f>
        <v>387277003</v>
      </c>
      <c r="C507" t="s">
        <v>16</v>
      </c>
      <c r="D507" t="s">
        <v>1786</v>
      </c>
      <c r="E507" t="s">
        <v>117</v>
      </c>
      <c r="F507" t="s">
        <v>382</v>
      </c>
      <c r="G507" t="s">
        <v>382</v>
      </c>
      <c r="H507" t="s">
        <v>382</v>
      </c>
      <c r="I507" t="s">
        <v>30</v>
      </c>
      <c r="J507" t="s">
        <v>1787</v>
      </c>
      <c r="K507" t="str">
        <f>"6"</f>
        <v>6</v>
      </c>
      <c r="L507" t="str">
        <f>""</f>
        <v/>
      </c>
      <c r="M507" t="str">
        <f>"40-139"</f>
        <v>40-139</v>
      </c>
      <c r="N507" t="str">
        <f>"327206027"</f>
        <v>327206027</v>
      </c>
      <c r="O507" t="s">
        <v>1788</v>
      </c>
      <c r="P507" t="s">
        <v>24</v>
      </c>
    </row>
    <row r="508" spans="1:16" hidden="1" x14ac:dyDescent="0.25">
      <c r="A508">
        <v>120101</v>
      </c>
      <c r="B508" t="str">
        <f>"181025152"</f>
        <v>181025152</v>
      </c>
      <c r="C508" t="s">
        <v>16</v>
      </c>
      <c r="D508" t="s">
        <v>1789</v>
      </c>
      <c r="E508" t="s">
        <v>101</v>
      </c>
      <c r="F508" t="s">
        <v>102</v>
      </c>
      <c r="G508" t="s">
        <v>102</v>
      </c>
      <c r="H508" t="s">
        <v>102</v>
      </c>
      <c r="I508" t="s">
        <v>30</v>
      </c>
      <c r="J508" t="s">
        <v>1554</v>
      </c>
      <c r="K508" t="str">
        <f>"11"</f>
        <v>11</v>
      </c>
      <c r="L508" t="str">
        <f>""</f>
        <v/>
      </c>
      <c r="M508" t="str">
        <f>"35-604"</f>
        <v>35-604</v>
      </c>
      <c r="N508" t="str">
        <f>"518269665"</f>
        <v>518269665</v>
      </c>
      <c r="O508" t="s">
        <v>1790</v>
      </c>
      <c r="P508" t="s">
        <v>24</v>
      </c>
    </row>
    <row r="509" spans="1:16" hidden="1" x14ac:dyDescent="0.25">
      <c r="A509">
        <v>264337</v>
      </c>
      <c r="B509" t="str">
        <f>"368314733"</f>
        <v>368314733</v>
      </c>
      <c r="C509" t="s">
        <v>16</v>
      </c>
      <c r="D509" t="s">
        <v>1791</v>
      </c>
      <c r="E509" t="s">
        <v>117</v>
      </c>
      <c r="F509" t="s">
        <v>382</v>
      </c>
      <c r="G509" t="s">
        <v>382</v>
      </c>
      <c r="H509" t="s">
        <v>382</v>
      </c>
      <c r="I509" t="s">
        <v>30</v>
      </c>
      <c r="J509" t="s">
        <v>1792</v>
      </c>
      <c r="K509" t="str">
        <f>"28"</f>
        <v>28</v>
      </c>
      <c r="L509" t="str">
        <f>""</f>
        <v/>
      </c>
      <c r="M509" t="str">
        <f>"40-660"</f>
        <v>40-660</v>
      </c>
      <c r="N509" t="str">
        <f>"604149003"</f>
        <v>604149003</v>
      </c>
      <c r="O509" t="s">
        <v>1793</v>
      </c>
      <c r="P509" t="s">
        <v>24</v>
      </c>
    </row>
    <row r="510" spans="1:16" hidden="1" x14ac:dyDescent="0.25">
      <c r="A510">
        <v>480988</v>
      </c>
      <c r="B510" t="str">
        <f>"526474914"</f>
        <v>526474914</v>
      </c>
      <c r="C510" t="s">
        <v>16</v>
      </c>
      <c r="D510" t="s">
        <v>1791</v>
      </c>
      <c r="E510" t="s">
        <v>80</v>
      </c>
      <c r="F510" t="s">
        <v>81</v>
      </c>
      <c r="G510" t="s">
        <v>81</v>
      </c>
      <c r="H510" t="s">
        <v>81</v>
      </c>
      <c r="I510" t="s">
        <v>30</v>
      </c>
      <c r="J510" t="s">
        <v>1794</v>
      </c>
      <c r="K510" t="str">
        <f>"1"</f>
        <v>1</v>
      </c>
      <c r="L510" t="str">
        <f>""</f>
        <v/>
      </c>
      <c r="M510" t="str">
        <f>"76-200"</f>
        <v>76-200</v>
      </c>
      <c r="N510" t="str">
        <f>"604149003"</f>
        <v>604149003</v>
      </c>
      <c r="O510" t="s">
        <v>1795</v>
      </c>
      <c r="P510" t="s">
        <v>24</v>
      </c>
    </row>
    <row r="511" spans="1:16" hidden="1" x14ac:dyDescent="0.25">
      <c r="A511">
        <v>127280</v>
      </c>
      <c r="B511" t="str">
        <f>"361305062"</f>
        <v>361305062</v>
      </c>
      <c r="C511" t="s">
        <v>25</v>
      </c>
      <c r="D511" t="s">
        <v>1796</v>
      </c>
      <c r="E511" t="s">
        <v>117</v>
      </c>
      <c r="F511" t="s">
        <v>913</v>
      </c>
      <c r="G511" t="s">
        <v>913</v>
      </c>
      <c r="H511" t="s">
        <v>913</v>
      </c>
      <c r="I511" t="s">
        <v>30</v>
      </c>
      <c r="J511" t="s">
        <v>1797</v>
      </c>
      <c r="K511" t="str">
        <f>"9"</f>
        <v>9</v>
      </c>
      <c r="L511" t="str">
        <f>""</f>
        <v/>
      </c>
      <c r="M511" t="str">
        <f>"41-500"</f>
        <v>41-500</v>
      </c>
      <c r="N511" t="str">
        <f>"607777641"</f>
        <v>607777641</v>
      </c>
      <c r="O511" t="s">
        <v>1798</v>
      </c>
      <c r="P511" t="s">
        <v>24</v>
      </c>
    </row>
    <row r="512" spans="1:16" hidden="1" x14ac:dyDescent="0.25">
      <c r="A512">
        <v>53512</v>
      </c>
      <c r="B512" t="str">
        <f>"341343078"</f>
        <v>341343078</v>
      </c>
      <c r="C512" t="s">
        <v>16</v>
      </c>
      <c r="D512" t="s">
        <v>1799</v>
      </c>
      <c r="E512" t="s">
        <v>181</v>
      </c>
      <c r="F512" t="s">
        <v>1800</v>
      </c>
      <c r="G512" t="s">
        <v>1800</v>
      </c>
      <c r="H512" t="s">
        <v>1800</v>
      </c>
      <c r="I512" t="s">
        <v>30</v>
      </c>
      <c r="J512" t="s">
        <v>1801</v>
      </c>
      <c r="K512" t="str">
        <f>"102"</f>
        <v>102</v>
      </c>
      <c r="L512" t="str">
        <f>""</f>
        <v/>
      </c>
      <c r="M512" t="str">
        <f>"86-300"</f>
        <v>86-300</v>
      </c>
      <c r="N512" t="str">
        <f>"564630974"</f>
        <v>564630974</v>
      </c>
      <c r="O512" t="s">
        <v>1802</v>
      </c>
      <c r="P512" t="s">
        <v>24</v>
      </c>
    </row>
    <row r="513" spans="1:16" hidden="1" x14ac:dyDescent="0.25">
      <c r="A513">
        <v>274320</v>
      </c>
      <c r="B513" t="str">
        <f>"385563549"</f>
        <v>385563549</v>
      </c>
      <c r="C513" t="s">
        <v>16</v>
      </c>
      <c r="D513" t="s">
        <v>1803</v>
      </c>
      <c r="E513" t="s">
        <v>80</v>
      </c>
      <c r="F513" t="s">
        <v>339</v>
      </c>
      <c r="G513" t="s">
        <v>339</v>
      </c>
      <c r="H513" t="s">
        <v>339</v>
      </c>
      <c r="I513" t="s">
        <v>30</v>
      </c>
      <c r="J513" t="s">
        <v>1804</v>
      </c>
      <c r="K513" t="str">
        <f>"24"</f>
        <v>24</v>
      </c>
      <c r="L513" t="str">
        <f>""</f>
        <v/>
      </c>
      <c r="M513" t="str">
        <f>"80-299"</f>
        <v>80-299</v>
      </c>
      <c r="N513" t="str">
        <f>"733009111"</f>
        <v>733009111</v>
      </c>
      <c r="O513" t="s">
        <v>1805</v>
      </c>
      <c r="P513" t="s">
        <v>24</v>
      </c>
    </row>
    <row r="514" spans="1:16" hidden="1" x14ac:dyDescent="0.25">
      <c r="A514">
        <v>123383</v>
      </c>
      <c r="B514" t="str">
        <f>"147309462"</f>
        <v>147309462</v>
      </c>
      <c r="C514" t="s">
        <v>16</v>
      </c>
      <c r="D514" t="s">
        <v>1806</v>
      </c>
      <c r="E514" t="s">
        <v>18</v>
      </c>
      <c r="F514" t="s">
        <v>486</v>
      </c>
      <c r="G514" t="s">
        <v>612</v>
      </c>
      <c r="H514" t="s">
        <v>612</v>
      </c>
      <c r="I514" t="s">
        <v>30</v>
      </c>
      <c r="J514" t="s">
        <v>188</v>
      </c>
      <c r="K514" t="str">
        <f>"14"</f>
        <v>14</v>
      </c>
      <c r="L514" t="str">
        <f>"U9"</f>
        <v>U9</v>
      </c>
      <c r="M514" t="str">
        <f>"05-300"</f>
        <v>05-300</v>
      </c>
      <c r="N514" t="str">
        <f>"257520335"</f>
        <v>257520335</v>
      </c>
      <c r="O514" t="s">
        <v>1807</v>
      </c>
      <c r="P514" t="s">
        <v>24</v>
      </c>
    </row>
    <row r="515" spans="1:16" hidden="1" x14ac:dyDescent="0.25">
      <c r="A515">
        <v>118958</v>
      </c>
      <c r="B515" t="str">
        <f>"122925858"</f>
        <v>122925858</v>
      </c>
      <c r="C515" t="s">
        <v>16</v>
      </c>
      <c r="D515" t="s">
        <v>1808</v>
      </c>
      <c r="E515" t="s">
        <v>27</v>
      </c>
      <c r="F515" t="s">
        <v>123</v>
      </c>
      <c r="G515" t="s">
        <v>281</v>
      </c>
      <c r="H515" t="s">
        <v>281</v>
      </c>
      <c r="I515" t="s">
        <v>42</v>
      </c>
      <c r="J515" t="s">
        <v>1809</v>
      </c>
      <c r="K515" t="str">
        <f>"5"</f>
        <v>5</v>
      </c>
      <c r="L515" t="str">
        <f>""</f>
        <v/>
      </c>
      <c r="M515" t="str">
        <f>"31-133"</f>
        <v>31-133</v>
      </c>
      <c r="N515" t="str">
        <f>"607040228"</f>
        <v>607040228</v>
      </c>
      <c r="O515" t="s">
        <v>1810</v>
      </c>
      <c r="P515" t="s">
        <v>24</v>
      </c>
    </row>
    <row r="516" spans="1:16" hidden="1" x14ac:dyDescent="0.25">
      <c r="A516">
        <v>278419</v>
      </c>
      <c r="B516" t="str">
        <f>"389888662"</f>
        <v>389888662</v>
      </c>
      <c r="C516" t="s">
        <v>16</v>
      </c>
      <c r="D516" t="s">
        <v>1812</v>
      </c>
      <c r="E516" t="s">
        <v>157</v>
      </c>
      <c r="F516" t="s">
        <v>158</v>
      </c>
      <c r="G516" t="s">
        <v>877</v>
      </c>
      <c r="H516" t="s">
        <v>877</v>
      </c>
      <c r="I516" t="s">
        <v>42</v>
      </c>
      <c r="J516" t="s">
        <v>1813</v>
      </c>
      <c r="K516" t="str">
        <f>"81"</f>
        <v>81</v>
      </c>
      <c r="L516" t="str">
        <f>""</f>
        <v/>
      </c>
      <c r="M516" t="str">
        <f>"61-159"</f>
        <v>61-159</v>
      </c>
      <c r="N516" t="str">
        <f>"729929136"</f>
        <v>729929136</v>
      </c>
      <c r="O516" t="s">
        <v>1814</v>
      </c>
      <c r="P516" t="s">
        <v>24</v>
      </c>
    </row>
    <row r="517" spans="1:16" hidden="1" x14ac:dyDescent="0.25">
      <c r="A517">
        <v>128829</v>
      </c>
      <c r="B517" t="str">
        <f>"362404493"</f>
        <v>362404493</v>
      </c>
      <c r="C517" t="s">
        <v>16</v>
      </c>
      <c r="D517" t="s">
        <v>1815</v>
      </c>
      <c r="E517" t="s">
        <v>117</v>
      </c>
      <c r="F517" t="s">
        <v>872</v>
      </c>
      <c r="G517" t="s">
        <v>1371</v>
      </c>
      <c r="H517" t="s">
        <v>1371</v>
      </c>
      <c r="I517" t="s">
        <v>30</v>
      </c>
      <c r="J517" t="s">
        <v>1816</v>
      </c>
      <c r="K517" t="str">
        <f>"2"</f>
        <v>2</v>
      </c>
      <c r="L517" t="str">
        <f>""</f>
        <v/>
      </c>
      <c r="M517" t="str">
        <f>"43-190"</f>
        <v>43-190</v>
      </c>
      <c r="N517" t="str">
        <f>"690303465"</f>
        <v>690303465</v>
      </c>
      <c r="O517" t="s">
        <v>1817</v>
      </c>
      <c r="P517" t="s">
        <v>24</v>
      </c>
    </row>
    <row r="518" spans="1:16" hidden="1" x14ac:dyDescent="0.25">
      <c r="A518">
        <v>481245</v>
      </c>
      <c r="B518" t="str">
        <f>"526674820"</f>
        <v>526674820</v>
      </c>
      <c r="C518" t="s">
        <v>16</v>
      </c>
      <c r="D518" t="s">
        <v>1818</v>
      </c>
      <c r="E518" t="s">
        <v>117</v>
      </c>
      <c r="F518" t="s">
        <v>913</v>
      </c>
      <c r="G518" t="s">
        <v>913</v>
      </c>
      <c r="H518" t="s">
        <v>913</v>
      </c>
      <c r="I518" t="s">
        <v>30</v>
      </c>
      <c r="J518" t="s">
        <v>1819</v>
      </c>
      <c r="K518" t="str">
        <f>"2"</f>
        <v>2</v>
      </c>
      <c r="L518" t="str">
        <f>""</f>
        <v/>
      </c>
      <c r="M518" t="str">
        <f>"41-500"</f>
        <v>41-500</v>
      </c>
      <c r="N518" t="str">
        <f>"505709039"</f>
        <v>505709039</v>
      </c>
      <c r="O518" t="s">
        <v>1820</v>
      </c>
      <c r="P518" t="s">
        <v>24</v>
      </c>
    </row>
    <row r="519" spans="1:16" hidden="1" x14ac:dyDescent="0.25">
      <c r="A519">
        <v>480909</v>
      </c>
      <c r="B519" t="str">
        <f>"526402866"</f>
        <v>526402866</v>
      </c>
      <c r="C519" t="s">
        <v>16</v>
      </c>
      <c r="D519" t="s">
        <v>1821</v>
      </c>
      <c r="E519" t="s">
        <v>80</v>
      </c>
      <c r="F519" t="s">
        <v>1105</v>
      </c>
      <c r="G519" t="s">
        <v>1106</v>
      </c>
      <c r="H519" t="s">
        <v>1106</v>
      </c>
      <c r="I519" t="s">
        <v>30</v>
      </c>
      <c r="J519" t="s">
        <v>138</v>
      </c>
      <c r="K519" t="str">
        <f>"2B"</f>
        <v>2B</v>
      </c>
      <c r="L519" t="str">
        <f>""</f>
        <v/>
      </c>
      <c r="M519" t="str">
        <f>"83-000"</f>
        <v>83-000</v>
      </c>
      <c r="N519" t="str">
        <f>"690930664"</f>
        <v>690930664</v>
      </c>
      <c r="O519" t="s">
        <v>1822</v>
      </c>
      <c r="P519" t="s">
        <v>24</v>
      </c>
    </row>
    <row r="520" spans="1:16" hidden="1" x14ac:dyDescent="0.25">
      <c r="A520">
        <v>129343</v>
      </c>
      <c r="B520" t="str">
        <f>"362571417"</f>
        <v>362571417</v>
      </c>
      <c r="C520" t="s">
        <v>16</v>
      </c>
      <c r="D520" t="s">
        <v>1823</v>
      </c>
      <c r="E520" t="s">
        <v>117</v>
      </c>
      <c r="F520" t="s">
        <v>382</v>
      </c>
      <c r="G520" t="s">
        <v>382</v>
      </c>
      <c r="H520" t="s">
        <v>382</v>
      </c>
      <c r="I520" t="s">
        <v>30</v>
      </c>
      <c r="J520" t="s">
        <v>1093</v>
      </c>
      <c r="K520" t="str">
        <f>"32c"</f>
        <v>32c</v>
      </c>
      <c r="L520" t="str">
        <f>""</f>
        <v/>
      </c>
      <c r="M520" t="str">
        <f>"40-284"</f>
        <v>40-284</v>
      </c>
      <c r="N520" t="str">
        <f>"500482290"</f>
        <v>500482290</v>
      </c>
      <c r="O520" t="s">
        <v>1824</v>
      </c>
      <c r="P520" t="s">
        <v>24</v>
      </c>
    </row>
    <row r="521" spans="1:16" hidden="1" x14ac:dyDescent="0.25">
      <c r="A521">
        <v>477948</v>
      </c>
      <c r="B521" t="str">
        <f>"521883269"</f>
        <v>521883269</v>
      </c>
      <c r="C521" t="s">
        <v>16</v>
      </c>
      <c r="D521" t="s">
        <v>1825</v>
      </c>
      <c r="E521" t="s">
        <v>117</v>
      </c>
      <c r="F521" t="s">
        <v>382</v>
      </c>
      <c r="G521" t="s">
        <v>382</v>
      </c>
      <c r="H521" t="s">
        <v>382</v>
      </c>
      <c r="I521" t="s">
        <v>30</v>
      </c>
      <c r="J521" t="s">
        <v>1826</v>
      </c>
      <c r="K521" t="str">
        <f>"16a"</f>
        <v>16a</v>
      </c>
      <c r="L521" t="str">
        <f>""</f>
        <v/>
      </c>
      <c r="M521" t="str">
        <f>"40-060"</f>
        <v>40-060</v>
      </c>
      <c r="N521" t="str">
        <f>"534035027"</f>
        <v>534035027</v>
      </c>
      <c r="O521" t="s">
        <v>1827</v>
      </c>
      <c r="P521" t="s">
        <v>24</v>
      </c>
    </row>
    <row r="522" spans="1:16" hidden="1" x14ac:dyDescent="0.25">
      <c r="A522">
        <v>130582</v>
      </c>
      <c r="B522" t="str">
        <f>"364206745"</f>
        <v>364206745</v>
      </c>
      <c r="C522" t="s">
        <v>16</v>
      </c>
      <c r="D522" t="s">
        <v>1828</v>
      </c>
      <c r="E522" t="s">
        <v>157</v>
      </c>
      <c r="F522" t="s">
        <v>158</v>
      </c>
      <c r="G522" t="s">
        <v>790</v>
      </c>
      <c r="H522" t="s">
        <v>790</v>
      </c>
      <c r="I522" t="s">
        <v>42</v>
      </c>
      <c r="J522" t="s">
        <v>1829</v>
      </c>
      <c r="K522" t="str">
        <f>"77"</f>
        <v>77</v>
      </c>
      <c r="L522" t="str">
        <f>""</f>
        <v/>
      </c>
      <c r="M522" t="str">
        <f>"61-498"</f>
        <v>61-498</v>
      </c>
      <c r="N522" t="str">
        <f>"618330530"</f>
        <v>618330530</v>
      </c>
      <c r="O522" t="s">
        <v>1830</v>
      </c>
      <c r="P522" t="s">
        <v>24</v>
      </c>
    </row>
    <row r="523" spans="1:16" hidden="1" x14ac:dyDescent="0.25">
      <c r="A523">
        <v>478663</v>
      </c>
      <c r="B523" t="str">
        <f>"523050622"</f>
        <v>523050622</v>
      </c>
      <c r="C523" t="s">
        <v>16</v>
      </c>
      <c r="D523" t="s">
        <v>1831</v>
      </c>
      <c r="E523" t="s">
        <v>117</v>
      </c>
      <c r="F523" t="s">
        <v>213</v>
      </c>
      <c r="G523" t="s">
        <v>213</v>
      </c>
      <c r="H523" t="s">
        <v>213</v>
      </c>
      <c r="I523" t="s">
        <v>30</v>
      </c>
      <c r="J523" t="s">
        <v>1280</v>
      </c>
      <c r="K523" t="str">
        <f>"8"</f>
        <v>8</v>
      </c>
      <c r="L523" t="str">
        <f>""</f>
        <v/>
      </c>
      <c r="M523" t="str">
        <f>"44-100"</f>
        <v>44-100</v>
      </c>
      <c r="N523" t="str">
        <f>"697790000"</f>
        <v>697790000</v>
      </c>
      <c r="O523" t="s">
        <v>1832</v>
      </c>
      <c r="P523" t="s">
        <v>24</v>
      </c>
    </row>
    <row r="524" spans="1:16" hidden="1" x14ac:dyDescent="0.25">
      <c r="A524">
        <v>278621</v>
      </c>
      <c r="B524" t="str">
        <f>"520003438"</f>
        <v>520003438</v>
      </c>
      <c r="C524" t="s">
        <v>16</v>
      </c>
      <c r="D524" t="s">
        <v>1833</v>
      </c>
      <c r="E524" t="s">
        <v>80</v>
      </c>
      <c r="F524" t="s">
        <v>1105</v>
      </c>
      <c r="G524" t="s">
        <v>1463</v>
      </c>
      <c r="H524" t="s">
        <v>1834</v>
      </c>
      <c r="I524" t="s">
        <v>1835</v>
      </c>
      <c r="J524" t="s">
        <v>1592</v>
      </c>
      <c r="K524" t="str">
        <f>"2"</f>
        <v>2</v>
      </c>
      <c r="L524" t="str">
        <f>"2"</f>
        <v>2</v>
      </c>
      <c r="M524" t="str">
        <f>"83-050"</f>
        <v>83-050</v>
      </c>
      <c r="N524" t="str">
        <f>"586827358"</f>
        <v>586827358</v>
      </c>
      <c r="O524" t="s">
        <v>1836</v>
      </c>
      <c r="P524" t="s">
        <v>24</v>
      </c>
    </row>
    <row r="525" spans="1:16" hidden="1" x14ac:dyDescent="0.25">
      <c r="A525">
        <v>270374</v>
      </c>
      <c r="B525" t="str">
        <f>"382452170"</f>
        <v>382452170</v>
      </c>
      <c r="C525" t="s">
        <v>16</v>
      </c>
      <c r="D525" t="s">
        <v>1837</v>
      </c>
      <c r="E525" t="s">
        <v>181</v>
      </c>
      <c r="F525" t="s">
        <v>437</v>
      </c>
      <c r="G525" t="s">
        <v>437</v>
      </c>
      <c r="H525" t="s">
        <v>437</v>
      </c>
      <c r="I525" t="s">
        <v>30</v>
      </c>
      <c r="J525" t="s">
        <v>1838</v>
      </c>
      <c r="K525" t="str">
        <f>"7"</f>
        <v>7</v>
      </c>
      <c r="L525" t="str">
        <f>""</f>
        <v/>
      </c>
      <c r="M525" t="str">
        <f>"85-792"</f>
        <v>85-792</v>
      </c>
      <c r="N525" t="str">
        <f>"523447490"</f>
        <v>523447490</v>
      </c>
      <c r="O525" t="s">
        <v>1839</v>
      </c>
      <c r="P525" t="s">
        <v>24</v>
      </c>
    </row>
    <row r="526" spans="1:16" hidden="1" x14ac:dyDescent="0.25">
      <c r="A526">
        <v>105812</v>
      </c>
      <c r="B526" t="str">
        <f>"022041890"</f>
        <v>022041890</v>
      </c>
      <c r="C526" t="s">
        <v>16</v>
      </c>
      <c r="D526" t="s">
        <v>1840</v>
      </c>
      <c r="E526" t="s">
        <v>64</v>
      </c>
      <c r="F526" t="s">
        <v>358</v>
      </c>
      <c r="G526" t="s">
        <v>1841</v>
      </c>
      <c r="H526" t="s">
        <v>1841</v>
      </c>
      <c r="I526" t="s">
        <v>30</v>
      </c>
      <c r="J526" t="s">
        <v>360</v>
      </c>
      <c r="K526" t="str">
        <f>"20"</f>
        <v>20</v>
      </c>
      <c r="L526" t="str">
        <f>"9"</f>
        <v>9</v>
      </c>
      <c r="M526" t="str">
        <f>"57-500"</f>
        <v>57-500</v>
      </c>
      <c r="N526" t="str">
        <f>"0605175434"</f>
        <v>0605175434</v>
      </c>
      <c r="O526" t="s">
        <v>1842</v>
      </c>
      <c r="P526" t="s">
        <v>24</v>
      </c>
    </row>
    <row r="527" spans="1:16" hidden="1" x14ac:dyDescent="0.25">
      <c r="A527">
        <v>273088</v>
      </c>
      <c r="B527" t="str">
        <f>"384372830"</f>
        <v>384372830</v>
      </c>
      <c r="C527" t="s">
        <v>16</v>
      </c>
      <c r="D527" t="s">
        <v>1843</v>
      </c>
      <c r="E527" t="s">
        <v>112</v>
      </c>
      <c r="F527" t="s">
        <v>839</v>
      </c>
      <c r="G527" t="s">
        <v>839</v>
      </c>
      <c r="H527" t="s">
        <v>839</v>
      </c>
      <c r="I527" t="s">
        <v>30</v>
      </c>
      <c r="J527" t="s">
        <v>1193</v>
      </c>
      <c r="K527" t="str">
        <f>"27-29"</f>
        <v>27-29</v>
      </c>
      <c r="L527" t="str">
        <f>""</f>
        <v/>
      </c>
      <c r="M527" t="str">
        <f>"22-100"</f>
        <v>22-100</v>
      </c>
      <c r="N527" t="str">
        <f>"825650563"</f>
        <v>825650563</v>
      </c>
      <c r="O527" t="s">
        <v>1844</v>
      </c>
      <c r="P527" t="s">
        <v>24</v>
      </c>
    </row>
    <row r="528" spans="1:16" hidden="1" x14ac:dyDescent="0.25">
      <c r="A528">
        <v>127476</v>
      </c>
      <c r="B528" t="str">
        <f>"361642457"</f>
        <v>361642457</v>
      </c>
      <c r="C528" t="s">
        <v>16</v>
      </c>
      <c r="D528" t="s">
        <v>1845</v>
      </c>
      <c r="E528" t="s">
        <v>181</v>
      </c>
      <c r="F528" t="s">
        <v>182</v>
      </c>
      <c r="G528" t="s">
        <v>183</v>
      </c>
      <c r="H528" t="s">
        <v>183</v>
      </c>
      <c r="I528" t="s">
        <v>30</v>
      </c>
      <c r="J528" t="s">
        <v>1846</v>
      </c>
      <c r="K528" t="str">
        <f>"7"</f>
        <v>7</v>
      </c>
      <c r="L528" t="str">
        <f>""</f>
        <v/>
      </c>
      <c r="M528" t="str">
        <f>"88-100"</f>
        <v>88-100</v>
      </c>
      <c r="N528" t="str">
        <f>"523531254"</f>
        <v>523531254</v>
      </c>
      <c r="O528" t="s">
        <v>1847</v>
      </c>
      <c r="P528" t="s">
        <v>24</v>
      </c>
    </row>
    <row r="529" spans="1:16" hidden="1" x14ac:dyDescent="0.25">
      <c r="A529">
        <v>120469</v>
      </c>
      <c r="B529" t="str">
        <f>"181029428"</f>
        <v>181029428</v>
      </c>
      <c r="C529" t="s">
        <v>16</v>
      </c>
      <c r="D529" t="s">
        <v>1848</v>
      </c>
      <c r="E529" t="s">
        <v>101</v>
      </c>
      <c r="F529" t="s">
        <v>429</v>
      </c>
      <c r="G529" t="s">
        <v>429</v>
      </c>
      <c r="H529" t="s">
        <v>429</v>
      </c>
      <c r="I529" t="s">
        <v>30</v>
      </c>
      <c r="J529" t="s">
        <v>1849</v>
      </c>
      <c r="K529" t="str">
        <f>"41"</f>
        <v>41</v>
      </c>
      <c r="L529" t="str">
        <f>""</f>
        <v/>
      </c>
      <c r="M529" t="str">
        <f>"38-400"</f>
        <v>38-400</v>
      </c>
      <c r="N529" t="str">
        <f>"134311985"</f>
        <v>134311985</v>
      </c>
      <c r="O529" t="s">
        <v>1850</v>
      </c>
      <c r="P529" t="s">
        <v>24</v>
      </c>
    </row>
    <row r="530" spans="1:16" hidden="1" x14ac:dyDescent="0.25">
      <c r="A530">
        <v>41206</v>
      </c>
      <c r="B530" t="str">
        <f>"101484853"</f>
        <v>101484853</v>
      </c>
      <c r="C530" t="s">
        <v>16</v>
      </c>
      <c r="D530" t="s">
        <v>1852</v>
      </c>
      <c r="E530" t="s">
        <v>39</v>
      </c>
      <c r="F530" t="s">
        <v>1853</v>
      </c>
      <c r="G530" t="s">
        <v>1854</v>
      </c>
      <c r="H530" t="s">
        <v>1854</v>
      </c>
      <c r="I530" t="s">
        <v>30</v>
      </c>
      <c r="J530" t="s">
        <v>1855</v>
      </c>
      <c r="K530" t="str">
        <f>"11"</f>
        <v>11</v>
      </c>
      <c r="L530" t="str">
        <f>""</f>
        <v/>
      </c>
      <c r="M530" t="str">
        <f>"99-300"</f>
        <v>99-300</v>
      </c>
      <c r="N530" t="str">
        <f>"604248376"</f>
        <v>604248376</v>
      </c>
      <c r="O530" t="s">
        <v>1856</v>
      </c>
      <c r="P530" t="s">
        <v>24</v>
      </c>
    </row>
    <row r="531" spans="1:16" hidden="1" x14ac:dyDescent="0.25">
      <c r="A531">
        <v>127331</v>
      </c>
      <c r="B531" t="str">
        <f>"361362953"</f>
        <v>361362953</v>
      </c>
      <c r="C531" t="s">
        <v>16</v>
      </c>
      <c r="D531" t="s">
        <v>1857</v>
      </c>
      <c r="E531" t="s">
        <v>18</v>
      </c>
      <c r="F531" t="s">
        <v>974</v>
      </c>
      <c r="G531" t="s">
        <v>1858</v>
      </c>
      <c r="H531" t="s">
        <v>1858</v>
      </c>
      <c r="I531" t="s">
        <v>30</v>
      </c>
      <c r="J531" t="s">
        <v>238</v>
      </c>
      <c r="K531" t="str">
        <f>"23"</f>
        <v>23</v>
      </c>
      <c r="L531" t="str">
        <f>""</f>
        <v/>
      </c>
      <c r="M531" t="str">
        <f>"07-130"</f>
        <v>07-130</v>
      </c>
      <c r="N531" t="str">
        <f>"+48517500366"</f>
        <v>+48517500366</v>
      </c>
      <c r="P531" t="s">
        <v>24</v>
      </c>
    </row>
    <row r="532" spans="1:16" hidden="1" x14ac:dyDescent="0.25">
      <c r="A532">
        <v>276877</v>
      </c>
      <c r="B532" t="str">
        <f>"387784266"</f>
        <v>387784266</v>
      </c>
      <c r="C532" t="s">
        <v>16</v>
      </c>
      <c r="D532" t="s">
        <v>1859</v>
      </c>
      <c r="E532" t="s">
        <v>112</v>
      </c>
      <c r="F532" t="s">
        <v>113</v>
      </c>
      <c r="G532" t="s">
        <v>113</v>
      </c>
      <c r="H532" t="s">
        <v>113</v>
      </c>
      <c r="I532" t="s">
        <v>30</v>
      </c>
      <c r="J532" t="s">
        <v>202</v>
      </c>
      <c r="K532" t="str">
        <f>"8"</f>
        <v>8</v>
      </c>
      <c r="L532" t="str">
        <f>"3"</f>
        <v>3</v>
      </c>
      <c r="M532" t="str">
        <f>"20-074"</f>
        <v>20-074</v>
      </c>
      <c r="N532" t="str">
        <f>"506105970"</f>
        <v>506105970</v>
      </c>
      <c r="O532" t="s">
        <v>1860</v>
      </c>
      <c r="P532" t="s">
        <v>24</v>
      </c>
    </row>
    <row r="533" spans="1:16" hidden="1" x14ac:dyDescent="0.25">
      <c r="A533">
        <v>481584</v>
      </c>
      <c r="B533" t="str">
        <f>"527556815"</f>
        <v>527556815</v>
      </c>
      <c r="C533" t="s">
        <v>16</v>
      </c>
      <c r="D533" t="s">
        <v>1861</v>
      </c>
      <c r="E533" t="s">
        <v>112</v>
      </c>
      <c r="F533" t="s">
        <v>113</v>
      </c>
      <c r="G533" t="s">
        <v>113</v>
      </c>
      <c r="H533" t="s">
        <v>113</v>
      </c>
      <c r="I533" t="s">
        <v>30</v>
      </c>
      <c r="J533" t="s">
        <v>1862</v>
      </c>
      <c r="K533" t="str">
        <f>"38"</f>
        <v>38</v>
      </c>
      <c r="L533" t="str">
        <f>""</f>
        <v/>
      </c>
      <c r="M533" t="str">
        <f>"20-418"</f>
        <v>20-418</v>
      </c>
      <c r="N533" t="str">
        <f>"790440496"</f>
        <v>790440496</v>
      </c>
      <c r="O533" t="s">
        <v>1863</v>
      </c>
      <c r="P533" t="s">
        <v>24</v>
      </c>
    </row>
    <row r="534" spans="1:16" hidden="1" x14ac:dyDescent="0.25">
      <c r="A534">
        <v>277002</v>
      </c>
      <c r="B534" t="str">
        <f>"387982813"</f>
        <v>387982813</v>
      </c>
      <c r="C534" t="s">
        <v>16</v>
      </c>
      <c r="D534" t="s">
        <v>1864</v>
      </c>
      <c r="E534" t="s">
        <v>74</v>
      </c>
      <c r="F534" t="s">
        <v>1753</v>
      </c>
      <c r="G534" t="s">
        <v>1865</v>
      </c>
      <c r="H534" t="s">
        <v>1865</v>
      </c>
      <c r="I534" t="s">
        <v>30</v>
      </c>
      <c r="J534" t="s">
        <v>1866</v>
      </c>
      <c r="K534" t="str">
        <f>"16"</f>
        <v>16</v>
      </c>
      <c r="L534" t="str">
        <f>""</f>
        <v/>
      </c>
      <c r="M534" t="str">
        <f>"28-366"</f>
        <v>28-366</v>
      </c>
      <c r="N534" t="str">
        <f>"603305237"</f>
        <v>603305237</v>
      </c>
      <c r="O534" t="s">
        <v>1867</v>
      </c>
      <c r="P534" t="s">
        <v>24</v>
      </c>
    </row>
    <row r="535" spans="1:16" hidden="1" x14ac:dyDescent="0.25">
      <c r="A535">
        <v>7791</v>
      </c>
      <c r="B535" t="str">
        <f>"281424860"</f>
        <v>281424860</v>
      </c>
      <c r="C535" t="s">
        <v>16</v>
      </c>
      <c r="D535" t="s">
        <v>1868</v>
      </c>
      <c r="E535" t="s">
        <v>389</v>
      </c>
      <c r="F535" t="s">
        <v>1869</v>
      </c>
      <c r="G535" t="s">
        <v>1870</v>
      </c>
      <c r="H535" t="s">
        <v>1870</v>
      </c>
      <c r="I535" t="s">
        <v>30</v>
      </c>
      <c r="J535" t="s">
        <v>444</v>
      </c>
      <c r="K535" t="str">
        <f>"26"</f>
        <v>26</v>
      </c>
      <c r="L535" t="str">
        <f>""</f>
        <v/>
      </c>
      <c r="M535" t="str">
        <f>"19-400"</f>
        <v>19-400</v>
      </c>
      <c r="N535" t="str">
        <f>"602617750"</f>
        <v>602617750</v>
      </c>
      <c r="O535" t="s">
        <v>1871</v>
      </c>
      <c r="P535" t="s">
        <v>24</v>
      </c>
    </row>
    <row r="536" spans="1:16" hidden="1" x14ac:dyDescent="0.25">
      <c r="A536">
        <v>127433</v>
      </c>
      <c r="B536" t="str">
        <f>"361582838"</f>
        <v>361582838</v>
      </c>
      <c r="C536" t="s">
        <v>16</v>
      </c>
      <c r="D536" t="s">
        <v>1872</v>
      </c>
      <c r="E536" t="s">
        <v>64</v>
      </c>
      <c r="F536" t="s">
        <v>1091</v>
      </c>
      <c r="G536" t="s">
        <v>1092</v>
      </c>
      <c r="H536" t="s">
        <v>1092</v>
      </c>
      <c r="I536" t="s">
        <v>30</v>
      </c>
      <c r="J536" t="s">
        <v>1873</v>
      </c>
      <c r="K536" t="str">
        <f>"19b"</f>
        <v>19b</v>
      </c>
      <c r="L536" t="str">
        <f>""</f>
        <v/>
      </c>
      <c r="M536" t="str">
        <f>"56-400"</f>
        <v>56-400</v>
      </c>
      <c r="N536" t="str">
        <f>"600309208"</f>
        <v>600309208</v>
      </c>
      <c r="O536" t="s">
        <v>1874</v>
      </c>
      <c r="P536" t="s">
        <v>24</v>
      </c>
    </row>
    <row r="537" spans="1:16" hidden="1" x14ac:dyDescent="0.25">
      <c r="A537">
        <v>130603</v>
      </c>
      <c r="B537" t="str">
        <f>"364229166"</f>
        <v>364229166</v>
      </c>
      <c r="C537" t="s">
        <v>16</v>
      </c>
      <c r="D537" t="s">
        <v>1875</v>
      </c>
      <c r="E537" t="s">
        <v>157</v>
      </c>
      <c r="F537" t="s">
        <v>1876</v>
      </c>
      <c r="G537" t="s">
        <v>1877</v>
      </c>
      <c r="H537" t="s">
        <v>1877</v>
      </c>
      <c r="I537" t="s">
        <v>30</v>
      </c>
      <c r="J537" t="s">
        <v>1878</v>
      </c>
      <c r="K537" t="str">
        <f>"2"</f>
        <v>2</v>
      </c>
      <c r="L537" t="str">
        <f>"1"</f>
        <v>1</v>
      </c>
      <c r="M537" t="str">
        <f>"63-500"</f>
        <v>63-500</v>
      </c>
      <c r="N537" t="str">
        <f>"603454464"</f>
        <v>603454464</v>
      </c>
      <c r="O537" t="s">
        <v>1879</v>
      </c>
      <c r="P537" t="s">
        <v>24</v>
      </c>
    </row>
    <row r="538" spans="1:16" hidden="1" x14ac:dyDescent="0.25">
      <c r="A538">
        <v>272935</v>
      </c>
      <c r="B538" t="str">
        <f>"384326793"</f>
        <v>384326793</v>
      </c>
      <c r="C538" t="s">
        <v>16</v>
      </c>
      <c r="D538" t="s">
        <v>1882</v>
      </c>
      <c r="E538" t="s">
        <v>112</v>
      </c>
      <c r="F538" t="s">
        <v>1670</v>
      </c>
      <c r="G538" t="s">
        <v>1671</v>
      </c>
      <c r="H538" t="s">
        <v>1671</v>
      </c>
      <c r="I538" t="s">
        <v>30</v>
      </c>
      <c r="J538" t="s">
        <v>243</v>
      </c>
      <c r="K538" t="str">
        <f>"22"</f>
        <v>22</v>
      </c>
      <c r="L538" t="str">
        <f>""</f>
        <v/>
      </c>
      <c r="M538" t="str">
        <f>"24-100"</f>
        <v>24-100</v>
      </c>
      <c r="N538" t="str">
        <f>"516157104"</f>
        <v>516157104</v>
      </c>
      <c r="O538" t="s">
        <v>1883</v>
      </c>
      <c r="P538" t="s">
        <v>24</v>
      </c>
    </row>
    <row r="539" spans="1:16" hidden="1" x14ac:dyDescent="0.25">
      <c r="A539">
        <v>276408</v>
      </c>
      <c r="B539" t="str">
        <f>"387126126"</f>
        <v>387126126</v>
      </c>
      <c r="C539" t="s">
        <v>16</v>
      </c>
      <c r="D539" t="s">
        <v>1884</v>
      </c>
      <c r="E539" t="s">
        <v>18</v>
      </c>
      <c r="F539" t="s">
        <v>502</v>
      </c>
      <c r="G539" t="s">
        <v>502</v>
      </c>
      <c r="H539" t="s">
        <v>502</v>
      </c>
      <c r="I539" t="s">
        <v>30</v>
      </c>
      <c r="J539" t="s">
        <v>1885</v>
      </c>
      <c r="K539" t="str">
        <f>"17"</f>
        <v>17</v>
      </c>
      <c r="L539" t="str">
        <f>""</f>
        <v/>
      </c>
      <c r="M539" t="str">
        <f>"26-600"</f>
        <v>26-600</v>
      </c>
      <c r="N539" t="str">
        <f>"603798899"</f>
        <v>603798899</v>
      </c>
      <c r="O539" t="s">
        <v>1886</v>
      </c>
      <c r="P539" t="s">
        <v>24</v>
      </c>
    </row>
    <row r="540" spans="1:16" hidden="1" x14ac:dyDescent="0.25">
      <c r="A540">
        <v>75912</v>
      </c>
      <c r="B540" t="str">
        <f>"260649584"</f>
        <v>260649584</v>
      </c>
      <c r="C540" t="s">
        <v>16</v>
      </c>
      <c r="D540" t="s">
        <v>1887</v>
      </c>
      <c r="E540" t="s">
        <v>74</v>
      </c>
      <c r="F540" t="s">
        <v>1433</v>
      </c>
      <c r="G540" t="s">
        <v>1888</v>
      </c>
      <c r="H540" t="s">
        <v>1888</v>
      </c>
      <c r="I540" t="s">
        <v>30</v>
      </c>
      <c r="J540" t="s">
        <v>1889</v>
      </c>
      <c r="K540" t="str">
        <f>"10"</f>
        <v>10</v>
      </c>
      <c r="L540" t="str">
        <f>""</f>
        <v/>
      </c>
      <c r="M540" t="str">
        <f>"27-600"</f>
        <v>27-600</v>
      </c>
      <c r="N540" t="str">
        <f>"156445532"</f>
        <v>156445532</v>
      </c>
      <c r="O540" t="s">
        <v>1890</v>
      </c>
      <c r="P540" t="s">
        <v>24</v>
      </c>
    </row>
    <row r="541" spans="1:16" hidden="1" x14ac:dyDescent="0.25">
      <c r="A541">
        <v>132755</v>
      </c>
      <c r="B541" t="str">
        <f>"366201120"</f>
        <v>366201120</v>
      </c>
      <c r="C541" t="s">
        <v>16</v>
      </c>
      <c r="D541" t="s">
        <v>1891</v>
      </c>
      <c r="E541" t="s">
        <v>27</v>
      </c>
      <c r="F541" t="s">
        <v>1892</v>
      </c>
      <c r="G541" t="s">
        <v>1893</v>
      </c>
      <c r="H541" t="s">
        <v>1893</v>
      </c>
      <c r="I541" t="s">
        <v>30</v>
      </c>
      <c r="J541" t="s">
        <v>908</v>
      </c>
      <c r="K541" t="str">
        <f>"17"</f>
        <v>17</v>
      </c>
      <c r="L541" t="str">
        <f>""</f>
        <v/>
      </c>
      <c r="M541" t="str">
        <f>"32-043"</f>
        <v>32-043</v>
      </c>
      <c r="N541" t="str">
        <f>"124426200"</f>
        <v>124426200</v>
      </c>
      <c r="O541" t="s">
        <v>1894</v>
      </c>
      <c r="P541" t="s">
        <v>24</v>
      </c>
    </row>
    <row r="542" spans="1:16" hidden="1" x14ac:dyDescent="0.25">
      <c r="A542">
        <v>275314</v>
      </c>
      <c r="B542" t="str">
        <f>"36620112000018"</f>
        <v>36620112000018</v>
      </c>
      <c r="C542" t="s">
        <v>16</v>
      </c>
      <c r="D542" t="s">
        <v>1896</v>
      </c>
      <c r="E542" t="s">
        <v>27</v>
      </c>
      <c r="F542" t="s">
        <v>1892</v>
      </c>
      <c r="G542" t="s">
        <v>1895</v>
      </c>
      <c r="H542" t="s">
        <v>1897</v>
      </c>
      <c r="I542" t="s">
        <v>68</v>
      </c>
      <c r="J542" t="s">
        <v>1898</v>
      </c>
      <c r="K542" t="str">
        <f>"370"</f>
        <v>370</v>
      </c>
      <c r="L542" t="str">
        <f>""</f>
        <v/>
      </c>
      <c r="M542" t="str">
        <f>"32-087"</f>
        <v>32-087</v>
      </c>
      <c r="N542" t="str">
        <f>"124426200"</f>
        <v>124426200</v>
      </c>
      <c r="O542" t="s">
        <v>1894</v>
      </c>
      <c r="P542" t="s">
        <v>24</v>
      </c>
    </row>
    <row r="543" spans="1:16" hidden="1" x14ac:dyDescent="0.25">
      <c r="A543">
        <v>274646</v>
      </c>
      <c r="B543" t="str">
        <f>"386135442"</f>
        <v>386135442</v>
      </c>
      <c r="C543" t="s">
        <v>16</v>
      </c>
      <c r="D543" t="s">
        <v>1899</v>
      </c>
      <c r="E543" t="s">
        <v>181</v>
      </c>
      <c r="F543" t="s">
        <v>1275</v>
      </c>
      <c r="G543" t="s">
        <v>1900</v>
      </c>
      <c r="H543" t="s">
        <v>1900</v>
      </c>
      <c r="I543" t="s">
        <v>30</v>
      </c>
      <c r="J543" t="s">
        <v>188</v>
      </c>
      <c r="K543" t="str">
        <f>"12"</f>
        <v>12</v>
      </c>
      <c r="L543" t="str">
        <f>""</f>
        <v/>
      </c>
      <c r="M543" t="str">
        <f>"86-050"</f>
        <v>86-050</v>
      </c>
      <c r="N543" t="str">
        <f>"602401593"</f>
        <v>602401593</v>
      </c>
      <c r="O543" t="s">
        <v>1901</v>
      </c>
      <c r="P543" t="s">
        <v>24</v>
      </c>
    </row>
    <row r="544" spans="1:16" hidden="1" x14ac:dyDescent="0.25">
      <c r="A544">
        <v>479663</v>
      </c>
      <c r="B544" t="str">
        <f>"524035270"</f>
        <v>524035270</v>
      </c>
      <c r="C544" t="s">
        <v>16</v>
      </c>
      <c r="D544" t="s">
        <v>1902</v>
      </c>
      <c r="E544" t="s">
        <v>157</v>
      </c>
      <c r="F544" t="s">
        <v>1303</v>
      </c>
      <c r="G544" t="s">
        <v>1304</v>
      </c>
      <c r="H544" t="s">
        <v>1304</v>
      </c>
      <c r="I544" t="s">
        <v>30</v>
      </c>
      <c r="J544" t="s">
        <v>1903</v>
      </c>
      <c r="K544" t="str">
        <f>"17"</f>
        <v>17</v>
      </c>
      <c r="L544" t="str">
        <f>""</f>
        <v/>
      </c>
      <c r="M544" t="str">
        <f>"63-100"</f>
        <v>63-100</v>
      </c>
      <c r="N544" t="str">
        <f>"790868740"</f>
        <v>790868740</v>
      </c>
      <c r="P544" t="s">
        <v>24</v>
      </c>
    </row>
    <row r="545" spans="1:16" hidden="1" x14ac:dyDescent="0.25">
      <c r="A545">
        <v>48444</v>
      </c>
      <c r="B545" t="str">
        <f>"260642145"</f>
        <v>260642145</v>
      </c>
      <c r="C545" t="s">
        <v>16</v>
      </c>
      <c r="D545" t="s">
        <v>1904</v>
      </c>
      <c r="E545" t="s">
        <v>74</v>
      </c>
      <c r="F545" t="s">
        <v>1905</v>
      </c>
      <c r="G545" t="s">
        <v>1906</v>
      </c>
      <c r="H545" t="s">
        <v>1906</v>
      </c>
      <c r="I545" t="s">
        <v>30</v>
      </c>
      <c r="J545" t="s">
        <v>1907</v>
      </c>
      <c r="K545" t="str">
        <f>"18"</f>
        <v>18</v>
      </c>
      <c r="L545" t="str">
        <f>""</f>
        <v/>
      </c>
      <c r="M545" t="str">
        <f>"27-200"</f>
        <v>27-200</v>
      </c>
      <c r="N545" t="str">
        <f>"531976473"</f>
        <v>531976473</v>
      </c>
      <c r="O545" t="s">
        <v>1908</v>
      </c>
      <c r="P545" t="s">
        <v>24</v>
      </c>
    </row>
    <row r="546" spans="1:16" hidden="1" x14ac:dyDescent="0.25">
      <c r="A546">
        <v>264110</v>
      </c>
      <c r="B546" t="str">
        <f>"368263881"</f>
        <v>368263881</v>
      </c>
      <c r="C546" t="s">
        <v>16</v>
      </c>
      <c r="D546" t="s">
        <v>1909</v>
      </c>
      <c r="E546" t="s">
        <v>80</v>
      </c>
      <c r="F546" t="s">
        <v>932</v>
      </c>
      <c r="G546" t="s">
        <v>933</v>
      </c>
      <c r="H546" t="s">
        <v>933</v>
      </c>
      <c r="I546" t="s">
        <v>30</v>
      </c>
      <c r="J546" t="s">
        <v>1910</v>
      </c>
      <c r="K546" t="str">
        <f>"4"</f>
        <v>4</v>
      </c>
      <c r="L546" t="str">
        <f>""</f>
        <v/>
      </c>
      <c r="M546" t="str">
        <f>"83-110"</f>
        <v>83-110</v>
      </c>
      <c r="N546" t="str">
        <f>"502444729"</f>
        <v>502444729</v>
      </c>
      <c r="O546" t="s">
        <v>1911</v>
      </c>
      <c r="P546" t="s">
        <v>24</v>
      </c>
    </row>
    <row r="547" spans="1:16" hidden="1" x14ac:dyDescent="0.25">
      <c r="A547">
        <v>111182</v>
      </c>
      <c r="B547" t="str">
        <f>"122801955"</f>
        <v>122801955</v>
      </c>
      <c r="C547" t="s">
        <v>16</v>
      </c>
      <c r="D547" t="s">
        <v>1912</v>
      </c>
      <c r="E547" t="s">
        <v>27</v>
      </c>
      <c r="F547" t="s">
        <v>28</v>
      </c>
      <c r="G547" t="s">
        <v>62</v>
      </c>
      <c r="H547" t="s">
        <v>62</v>
      </c>
      <c r="I547" t="s">
        <v>30</v>
      </c>
      <c r="J547" t="s">
        <v>764</v>
      </c>
      <c r="K547" t="str">
        <f>"23b"</f>
        <v>23b</v>
      </c>
      <c r="L547" t="str">
        <f>""</f>
        <v/>
      </c>
      <c r="M547" t="str">
        <f>"32-540"</f>
        <v>32-540</v>
      </c>
      <c r="N547" t="str">
        <f>"606352526"</f>
        <v>606352526</v>
      </c>
      <c r="O547" t="s">
        <v>1913</v>
      </c>
      <c r="P547" t="s">
        <v>24</v>
      </c>
    </row>
    <row r="548" spans="1:16" hidden="1" x14ac:dyDescent="0.25">
      <c r="A548">
        <v>128224</v>
      </c>
      <c r="B548" t="str">
        <f>"362185714"</f>
        <v>362185714</v>
      </c>
      <c r="C548" t="s">
        <v>16</v>
      </c>
      <c r="D548" t="s">
        <v>1914</v>
      </c>
      <c r="E548" t="s">
        <v>117</v>
      </c>
      <c r="F548" t="s">
        <v>177</v>
      </c>
      <c r="G548" t="s">
        <v>1915</v>
      </c>
      <c r="H548" t="s">
        <v>1915</v>
      </c>
      <c r="I548" t="s">
        <v>30</v>
      </c>
      <c r="J548" t="s">
        <v>1916</v>
      </c>
      <c r="K548" t="str">
        <f>"7"</f>
        <v>7</v>
      </c>
      <c r="L548" t="str">
        <f>""</f>
        <v/>
      </c>
      <c r="M548" t="str">
        <f>"43-450"</f>
        <v>43-450</v>
      </c>
      <c r="N548" t="str">
        <f>"338547759"</f>
        <v>338547759</v>
      </c>
      <c r="P548" t="s">
        <v>24</v>
      </c>
    </row>
    <row r="549" spans="1:16" hidden="1" x14ac:dyDescent="0.25">
      <c r="A549">
        <v>129779</v>
      </c>
      <c r="B549" t="str">
        <f>"362903894"</f>
        <v>362903894</v>
      </c>
      <c r="C549" t="s">
        <v>16</v>
      </c>
      <c r="D549" t="s">
        <v>1917</v>
      </c>
      <c r="E549" t="s">
        <v>112</v>
      </c>
      <c r="F549" t="s">
        <v>1918</v>
      </c>
      <c r="G549" t="s">
        <v>1919</v>
      </c>
      <c r="H549" t="s">
        <v>1919</v>
      </c>
      <c r="I549" t="s">
        <v>68</v>
      </c>
      <c r="J549" t="s">
        <v>560</v>
      </c>
      <c r="K549" t="str">
        <f>"88"</f>
        <v>88</v>
      </c>
      <c r="L549" t="str">
        <f>""</f>
        <v/>
      </c>
      <c r="M549" t="str">
        <f>"21-580"</f>
        <v>21-580</v>
      </c>
      <c r="N549" t="str">
        <f>"503102287"</f>
        <v>503102287</v>
      </c>
      <c r="O549" t="s">
        <v>1920</v>
      </c>
      <c r="P549" t="s">
        <v>24</v>
      </c>
    </row>
    <row r="550" spans="1:16" hidden="1" x14ac:dyDescent="0.25">
      <c r="A550">
        <v>133261</v>
      </c>
      <c r="B550" t="str">
        <f>"366890757"</f>
        <v>366890757</v>
      </c>
      <c r="C550" t="s">
        <v>16</v>
      </c>
      <c r="D550" t="s">
        <v>1921</v>
      </c>
      <c r="E550" t="s">
        <v>117</v>
      </c>
      <c r="F550" t="s">
        <v>1170</v>
      </c>
      <c r="G550" t="s">
        <v>1171</v>
      </c>
      <c r="H550" t="s">
        <v>1171</v>
      </c>
      <c r="I550" t="s">
        <v>30</v>
      </c>
      <c r="J550" t="s">
        <v>1922</v>
      </c>
      <c r="K550" t="str">
        <f>"23b"</f>
        <v>23b</v>
      </c>
      <c r="L550" t="str">
        <f>""</f>
        <v/>
      </c>
      <c r="M550" t="str">
        <f>"44-304"</f>
        <v>44-304</v>
      </c>
      <c r="N550" t="str">
        <f>"327339830"</f>
        <v>327339830</v>
      </c>
      <c r="O550" t="s">
        <v>1923</v>
      </c>
      <c r="P550" t="s">
        <v>24</v>
      </c>
    </row>
    <row r="551" spans="1:16" hidden="1" x14ac:dyDescent="0.25">
      <c r="A551">
        <v>122906</v>
      </c>
      <c r="B551" t="str">
        <f>"022400219"</f>
        <v>022400219</v>
      </c>
      <c r="C551" t="s">
        <v>16</v>
      </c>
      <c r="D551" t="s">
        <v>1924</v>
      </c>
      <c r="E551" t="s">
        <v>64</v>
      </c>
      <c r="F551" t="s">
        <v>1925</v>
      </c>
      <c r="G551" t="s">
        <v>1926</v>
      </c>
      <c r="H551" t="s">
        <v>1926</v>
      </c>
      <c r="I551" t="s">
        <v>30</v>
      </c>
      <c r="J551" t="s">
        <v>660</v>
      </c>
      <c r="K551" t="str">
        <f>"36a"</f>
        <v>36a</v>
      </c>
      <c r="L551" t="str">
        <f>""</f>
        <v/>
      </c>
      <c r="M551" t="str">
        <f>"56-100"</f>
        <v>56-100</v>
      </c>
      <c r="N551" t="str">
        <f>"698160984"</f>
        <v>698160984</v>
      </c>
      <c r="P551" t="s">
        <v>24</v>
      </c>
    </row>
    <row r="552" spans="1:16" hidden="1" x14ac:dyDescent="0.25">
      <c r="A552">
        <v>133638</v>
      </c>
      <c r="B552" t="str">
        <f>"367508228"</f>
        <v>367508228</v>
      </c>
      <c r="C552" t="s">
        <v>16</v>
      </c>
      <c r="D552" t="s">
        <v>1927</v>
      </c>
      <c r="E552" t="s">
        <v>117</v>
      </c>
      <c r="F552" t="s">
        <v>1116</v>
      </c>
      <c r="G552" t="s">
        <v>1117</v>
      </c>
      <c r="H552" t="s">
        <v>1117</v>
      </c>
      <c r="I552" t="s">
        <v>30</v>
      </c>
      <c r="J552" t="s">
        <v>1928</v>
      </c>
      <c r="K552" t="str">
        <f>"4"</f>
        <v>4</v>
      </c>
      <c r="L552" t="str">
        <f>"2"</f>
        <v>2</v>
      </c>
      <c r="M552" t="str">
        <f>"42-400"</f>
        <v>42-400</v>
      </c>
      <c r="N552" t="str">
        <f>"609091223"</f>
        <v>609091223</v>
      </c>
      <c r="O552" t="s">
        <v>1929</v>
      </c>
      <c r="P552" t="s">
        <v>24</v>
      </c>
    </row>
    <row r="553" spans="1:16" hidden="1" x14ac:dyDescent="0.25">
      <c r="A553">
        <v>131122</v>
      </c>
      <c r="B553" t="str">
        <f>"364955926"</f>
        <v>364955926</v>
      </c>
      <c r="C553" t="s">
        <v>16</v>
      </c>
      <c r="D553" t="s">
        <v>1930</v>
      </c>
      <c r="E553" t="s">
        <v>18</v>
      </c>
      <c r="F553" t="s">
        <v>1175</v>
      </c>
      <c r="G553" t="s">
        <v>1931</v>
      </c>
      <c r="H553" t="s">
        <v>1932</v>
      </c>
      <c r="I553" t="s">
        <v>68</v>
      </c>
      <c r="K553" t="str">
        <f>"105 A"</f>
        <v>105 A</v>
      </c>
      <c r="L553" t="str">
        <f>""</f>
        <v/>
      </c>
      <c r="M553" t="str">
        <f>"08-430"</f>
        <v>08-430</v>
      </c>
      <c r="N553" t="str">
        <f>"609619327"</f>
        <v>609619327</v>
      </c>
      <c r="O553" t="s">
        <v>1933</v>
      </c>
      <c r="P553" t="s">
        <v>24</v>
      </c>
    </row>
    <row r="554" spans="1:16" hidden="1" x14ac:dyDescent="0.25">
      <c r="A554">
        <v>88606</v>
      </c>
      <c r="B554" t="str">
        <f>"081089439"</f>
        <v>081089439</v>
      </c>
      <c r="C554" t="s">
        <v>16</v>
      </c>
      <c r="D554" t="s">
        <v>1934</v>
      </c>
      <c r="E554" t="s">
        <v>240</v>
      </c>
      <c r="F554" t="s">
        <v>719</v>
      </c>
      <c r="G554" t="s">
        <v>719</v>
      </c>
      <c r="H554" t="s">
        <v>719</v>
      </c>
      <c r="I554" t="s">
        <v>30</v>
      </c>
      <c r="J554" t="s">
        <v>579</v>
      </c>
      <c r="K554" t="str">
        <f>"13"</f>
        <v>13</v>
      </c>
      <c r="L554" t="str">
        <f>""</f>
        <v/>
      </c>
      <c r="M554" t="str">
        <f>"65-401"</f>
        <v>65-401</v>
      </c>
      <c r="N554" t="str">
        <f>"0957473905"</f>
        <v>0957473905</v>
      </c>
      <c r="O554" t="s">
        <v>831</v>
      </c>
      <c r="P554" t="s">
        <v>24</v>
      </c>
    </row>
    <row r="555" spans="1:16" hidden="1" x14ac:dyDescent="0.25">
      <c r="A555">
        <v>479250</v>
      </c>
      <c r="B555" t="str">
        <f>"523260710"</f>
        <v>523260710</v>
      </c>
      <c r="C555" t="s">
        <v>16</v>
      </c>
      <c r="D555" t="s">
        <v>1935</v>
      </c>
      <c r="E555" t="s">
        <v>157</v>
      </c>
      <c r="F555" t="s">
        <v>1072</v>
      </c>
      <c r="G555" t="s">
        <v>1936</v>
      </c>
      <c r="H555" t="s">
        <v>1936</v>
      </c>
      <c r="I555" t="s">
        <v>30</v>
      </c>
      <c r="J555" t="s">
        <v>1297</v>
      </c>
      <c r="K555" t="str">
        <f>"2a"</f>
        <v>2a</v>
      </c>
      <c r="L555" t="str">
        <f>""</f>
        <v/>
      </c>
      <c r="M555" t="str">
        <f>"62-590"</f>
        <v>62-590</v>
      </c>
      <c r="N555" t="str">
        <f>"780002279"</f>
        <v>780002279</v>
      </c>
      <c r="O555" t="s">
        <v>1324</v>
      </c>
      <c r="P555" t="s">
        <v>24</v>
      </c>
    </row>
    <row r="556" spans="1:16" hidden="1" x14ac:dyDescent="0.25">
      <c r="A556">
        <v>479094</v>
      </c>
      <c r="B556" t="str">
        <f>"523162611"</f>
        <v>523162611</v>
      </c>
      <c r="C556" t="s">
        <v>16</v>
      </c>
      <c r="D556" t="s">
        <v>1937</v>
      </c>
      <c r="E556" t="s">
        <v>157</v>
      </c>
      <c r="F556" t="s">
        <v>1303</v>
      </c>
      <c r="G556" t="s">
        <v>1304</v>
      </c>
      <c r="H556" t="s">
        <v>1304</v>
      </c>
      <c r="I556" t="s">
        <v>30</v>
      </c>
      <c r="J556" t="s">
        <v>1938</v>
      </c>
      <c r="K556" t="str">
        <f>"7"</f>
        <v>7</v>
      </c>
      <c r="L556" t="str">
        <f>""</f>
        <v/>
      </c>
      <c r="M556" t="str">
        <f>"63-100"</f>
        <v>63-100</v>
      </c>
      <c r="N556" t="str">
        <f>"500247117"</f>
        <v>500247117</v>
      </c>
      <c r="O556" t="s">
        <v>1939</v>
      </c>
      <c r="P556" t="s">
        <v>24</v>
      </c>
    </row>
    <row r="557" spans="1:16" hidden="1" x14ac:dyDescent="0.25">
      <c r="A557">
        <v>481105</v>
      </c>
      <c r="B557" t="str">
        <f>"526502480"</f>
        <v>526502480</v>
      </c>
      <c r="C557" t="s">
        <v>16</v>
      </c>
      <c r="D557" t="s">
        <v>1940</v>
      </c>
      <c r="E557" t="s">
        <v>157</v>
      </c>
      <c r="F557" t="s">
        <v>1941</v>
      </c>
      <c r="G557" t="s">
        <v>1942</v>
      </c>
      <c r="H557" t="s">
        <v>1943</v>
      </c>
      <c r="I557" t="s">
        <v>68</v>
      </c>
      <c r="K557" t="str">
        <f>"62a"</f>
        <v>62a</v>
      </c>
      <c r="L557" t="str">
        <f>""</f>
        <v/>
      </c>
      <c r="M557" t="str">
        <f>"63-230"</f>
        <v>63-230</v>
      </c>
      <c r="N557" t="str">
        <f>"729666140"</f>
        <v>729666140</v>
      </c>
      <c r="O557" t="s">
        <v>1324</v>
      </c>
      <c r="P557" t="s">
        <v>24</v>
      </c>
    </row>
    <row r="558" spans="1:16" hidden="1" x14ac:dyDescent="0.25">
      <c r="A558">
        <v>6522</v>
      </c>
      <c r="B558" t="str">
        <f>"180886580"</f>
        <v>180886580</v>
      </c>
      <c r="C558" t="s">
        <v>16</v>
      </c>
      <c r="D558" t="s">
        <v>1944</v>
      </c>
      <c r="E558" t="s">
        <v>101</v>
      </c>
      <c r="F558" t="s">
        <v>1851</v>
      </c>
      <c r="G558" t="s">
        <v>1851</v>
      </c>
      <c r="H558" t="s">
        <v>1851</v>
      </c>
      <c r="I558" t="s">
        <v>30</v>
      </c>
      <c r="J558" t="s">
        <v>1945</v>
      </c>
      <c r="K558" t="str">
        <f>"78"</f>
        <v>78</v>
      </c>
      <c r="L558" t="str">
        <f>""</f>
        <v/>
      </c>
      <c r="M558" t="str">
        <f>"37-700"</f>
        <v>37-700</v>
      </c>
      <c r="N558" t="str">
        <f>"166778919"</f>
        <v>166778919</v>
      </c>
      <c r="O558" t="s">
        <v>1946</v>
      </c>
      <c r="P558" t="s">
        <v>24</v>
      </c>
    </row>
    <row r="559" spans="1:16" hidden="1" x14ac:dyDescent="0.25">
      <c r="A559">
        <v>478416</v>
      </c>
      <c r="B559" t="str">
        <f>"522758508"</f>
        <v>522758508</v>
      </c>
      <c r="C559" t="s">
        <v>16</v>
      </c>
      <c r="D559" t="s">
        <v>1947</v>
      </c>
      <c r="E559" t="s">
        <v>18</v>
      </c>
      <c r="F559" t="s">
        <v>974</v>
      </c>
      <c r="G559" t="s">
        <v>975</v>
      </c>
      <c r="H559" t="s">
        <v>975</v>
      </c>
      <c r="I559" t="s">
        <v>30</v>
      </c>
      <c r="J559" t="s">
        <v>1620</v>
      </c>
      <c r="K559" t="str">
        <f>"16B"</f>
        <v>16B</v>
      </c>
      <c r="L559" t="str">
        <f>""</f>
        <v/>
      </c>
      <c r="M559" t="str">
        <f>"07-100"</f>
        <v>07-100</v>
      </c>
      <c r="N559" t="str">
        <f>"790741100"</f>
        <v>790741100</v>
      </c>
      <c r="O559" t="s">
        <v>1948</v>
      </c>
      <c r="P559" t="s">
        <v>24</v>
      </c>
    </row>
    <row r="560" spans="1:16" hidden="1" x14ac:dyDescent="0.25">
      <c r="A560">
        <v>480561</v>
      </c>
      <c r="B560" t="str">
        <f>"526163309"</f>
        <v>526163309</v>
      </c>
      <c r="C560" t="s">
        <v>16</v>
      </c>
      <c r="D560" t="s">
        <v>1949</v>
      </c>
      <c r="E560" t="s">
        <v>74</v>
      </c>
      <c r="F560" t="s">
        <v>1753</v>
      </c>
      <c r="G560" t="s">
        <v>1950</v>
      </c>
      <c r="H560" t="s">
        <v>1951</v>
      </c>
      <c r="I560" t="s">
        <v>68</v>
      </c>
      <c r="K560" t="str">
        <f>"76"</f>
        <v>76</v>
      </c>
      <c r="L560" t="str">
        <f>""</f>
        <v/>
      </c>
      <c r="M560" t="str">
        <f>"28-340"</f>
        <v>28-340</v>
      </c>
      <c r="N560" t="str">
        <f>"733663844"</f>
        <v>733663844</v>
      </c>
      <c r="O560" t="s">
        <v>1952</v>
      </c>
      <c r="P560" t="s">
        <v>24</v>
      </c>
    </row>
    <row r="561" spans="1:16" hidden="1" x14ac:dyDescent="0.25">
      <c r="A561">
        <v>275114</v>
      </c>
      <c r="B561" t="str">
        <f>"386587606"</f>
        <v>386587606</v>
      </c>
      <c r="C561" t="s">
        <v>16</v>
      </c>
      <c r="D561" t="s">
        <v>1953</v>
      </c>
      <c r="E561" t="s">
        <v>101</v>
      </c>
      <c r="F561" t="s">
        <v>1387</v>
      </c>
      <c r="G561" t="s">
        <v>1388</v>
      </c>
      <c r="H561" t="s">
        <v>1388</v>
      </c>
      <c r="I561" t="s">
        <v>30</v>
      </c>
      <c r="J561" t="s">
        <v>1954</v>
      </c>
      <c r="K561" t="str">
        <f>"21"</f>
        <v>21</v>
      </c>
      <c r="L561" t="str">
        <f>""</f>
        <v/>
      </c>
      <c r="M561" t="str">
        <f>"38-200"</f>
        <v>38-200</v>
      </c>
      <c r="N561" t="str">
        <f>"881777165"</f>
        <v>881777165</v>
      </c>
      <c r="O561" t="s">
        <v>1955</v>
      </c>
      <c r="P561" t="s">
        <v>24</v>
      </c>
    </row>
    <row r="562" spans="1:16" hidden="1" x14ac:dyDescent="0.25">
      <c r="A562">
        <v>129138</v>
      </c>
      <c r="B562" t="str">
        <f>"362486315"</f>
        <v>362486315</v>
      </c>
      <c r="C562" t="s">
        <v>16</v>
      </c>
      <c r="D562" t="s">
        <v>1956</v>
      </c>
      <c r="E562" t="s">
        <v>101</v>
      </c>
      <c r="F562" t="s">
        <v>1957</v>
      </c>
      <c r="G562" t="s">
        <v>1958</v>
      </c>
      <c r="H562" t="s">
        <v>1958</v>
      </c>
      <c r="I562" t="s">
        <v>30</v>
      </c>
      <c r="J562" t="s">
        <v>1027</v>
      </c>
      <c r="K562" t="str">
        <f>"33"</f>
        <v>33</v>
      </c>
      <c r="L562" t="str">
        <f>""</f>
        <v/>
      </c>
      <c r="M562" t="str">
        <f>"39-300"</f>
        <v>39-300</v>
      </c>
      <c r="N562" t="str">
        <f>"533400757"</f>
        <v>533400757</v>
      </c>
      <c r="O562" t="s">
        <v>1959</v>
      </c>
      <c r="P562" t="s">
        <v>24</v>
      </c>
    </row>
    <row r="563" spans="1:16" hidden="1" x14ac:dyDescent="0.25">
      <c r="A563">
        <v>264367</v>
      </c>
      <c r="B563" t="str">
        <f>"368321880"</f>
        <v>368321880</v>
      </c>
      <c r="C563" t="s">
        <v>16</v>
      </c>
      <c r="D563" t="s">
        <v>1960</v>
      </c>
      <c r="E563" t="s">
        <v>101</v>
      </c>
      <c r="F563" t="s">
        <v>697</v>
      </c>
      <c r="G563" t="s">
        <v>1961</v>
      </c>
      <c r="H563" t="s">
        <v>1961</v>
      </c>
      <c r="I563" t="s">
        <v>30</v>
      </c>
      <c r="J563" t="s">
        <v>1962</v>
      </c>
      <c r="K563" t="str">
        <f>"1"</f>
        <v>1</v>
      </c>
      <c r="L563" t="str">
        <f>""</f>
        <v/>
      </c>
      <c r="M563" t="str">
        <f>"39-100"</f>
        <v>39-100</v>
      </c>
      <c r="N563" t="str">
        <f>"606943436"</f>
        <v>606943436</v>
      </c>
      <c r="O563" t="s">
        <v>1963</v>
      </c>
      <c r="P563" t="s">
        <v>24</v>
      </c>
    </row>
    <row r="564" spans="1:16" hidden="1" x14ac:dyDescent="0.25">
      <c r="A564">
        <v>132172</v>
      </c>
      <c r="B564" t="str">
        <f>"365489811"</f>
        <v>365489811</v>
      </c>
      <c r="C564" t="s">
        <v>16</v>
      </c>
      <c r="D564" t="s">
        <v>1964</v>
      </c>
      <c r="E564" t="s">
        <v>101</v>
      </c>
      <c r="F564" t="s">
        <v>102</v>
      </c>
      <c r="G564" t="s">
        <v>102</v>
      </c>
      <c r="H564" t="s">
        <v>102</v>
      </c>
      <c r="I564" t="s">
        <v>30</v>
      </c>
      <c r="J564" t="s">
        <v>1965</v>
      </c>
      <c r="K564" t="str">
        <f>"26a"</f>
        <v>26a</v>
      </c>
      <c r="L564" t="str">
        <f>""</f>
        <v/>
      </c>
      <c r="M564" t="str">
        <f>"35-082"</f>
        <v>35-082</v>
      </c>
      <c r="N564" t="str">
        <f>"606943436"</f>
        <v>606943436</v>
      </c>
      <c r="O564" t="s">
        <v>1966</v>
      </c>
      <c r="P564" t="s">
        <v>24</v>
      </c>
    </row>
    <row r="565" spans="1:16" hidden="1" x14ac:dyDescent="0.25">
      <c r="A565">
        <v>273619</v>
      </c>
      <c r="B565" t="str">
        <f>"384522940"</f>
        <v>384522940</v>
      </c>
      <c r="C565" t="s">
        <v>16</v>
      </c>
      <c r="D565" t="s">
        <v>1967</v>
      </c>
      <c r="E565" t="s">
        <v>112</v>
      </c>
      <c r="F565" t="s">
        <v>1968</v>
      </c>
      <c r="G565" t="s">
        <v>1968</v>
      </c>
      <c r="H565" t="s">
        <v>1968</v>
      </c>
      <c r="I565" t="s">
        <v>30</v>
      </c>
      <c r="J565" t="s">
        <v>464</v>
      </c>
      <c r="K565" t="str">
        <f>"28"</f>
        <v>28</v>
      </c>
      <c r="L565" t="str">
        <f>""</f>
        <v/>
      </c>
      <c r="M565" t="str">
        <f>"21-500"</f>
        <v>21-500</v>
      </c>
      <c r="N565" t="str">
        <f>"578604204"</f>
        <v>578604204</v>
      </c>
      <c r="O565" t="s">
        <v>1969</v>
      </c>
      <c r="P565" t="s">
        <v>24</v>
      </c>
    </row>
    <row r="566" spans="1:16" hidden="1" x14ac:dyDescent="0.25">
      <c r="A566">
        <v>481278</v>
      </c>
      <c r="B566" t="str">
        <f>"526777508"</f>
        <v>526777508</v>
      </c>
      <c r="C566" t="s">
        <v>16</v>
      </c>
      <c r="D566" t="s">
        <v>1970</v>
      </c>
      <c r="E566" t="s">
        <v>34</v>
      </c>
      <c r="F566" t="s">
        <v>1971</v>
      </c>
      <c r="G566" t="s">
        <v>1972</v>
      </c>
      <c r="H566" t="s">
        <v>1972</v>
      </c>
      <c r="I566" t="s">
        <v>30</v>
      </c>
      <c r="J566" t="s">
        <v>1297</v>
      </c>
      <c r="K566" t="str">
        <f>"24"</f>
        <v>24</v>
      </c>
      <c r="L566" t="str">
        <f>""</f>
        <v/>
      </c>
      <c r="M566" t="str">
        <f>"78-200"</f>
        <v>78-200</v>
      </c>
      <c r="N566" t="str">
        <f>"943124169"</f>
        <v>943124169</v>
      </c>
      <c r="P566" t="s">
        <v>24</v>
      </c>
    </row>
    <row r="567" spans="1:16" hidden="1" x14ac:dyDescent="0.25">
      <c r="A567">
        <v>270766</v>
      </c>
      <c r="B567" t="str">
        <f>"382905179"</f>
        <v>382905179</v>
      </c>
      <c r="C567" t="s">
        <v>16</v>
      </c>
      <c r="D567" t="s">
        <v>1973</v>
      </c>
      <c r="E567" t="s">
        <v>157</v>
      </c>
      <c r="F567" t="s">
        <v>162</v>
      </c>
      <c r="G567" t="s">
        <v>312</v>
      </c>
      <c r="H567" t="s">
        <v>1974</v>
      </c>
      <c r="I567" t="s">
        <v>68</v>
      </c>
      <c r="J567" t="s">
        <v>631</v>
      </c>
      <c r="K567" t="str">
        <f>"10"</f>
        <v>10</v>
      </c>
      <c r="L567" t="str">
        <f>""</f>
        <v/>
      </c>
      <c r="M567" t="str">
        <f>"62-025"</f>
        <v>62-025</v>
      </c>
      <c r="N567" t="str">
        <f>"516616011"</f>
        <v>516616011</v>
      </c>
      <c r="O567" t="s">
        <v>1975</v>
      </c>
      <c r="P567" t="s">
        <v>24</v>
      </c>
    </row>
    <row r="568" spans="1:16" hidden="1" x14ac:dyDescent="0.25">
      <c r="A568">
        <v>47622</v>
      </c>
      <c r="B568" t="str">
        <f>"146366340"</f>
        <v>146366340</v>
      </c>
      <c r="C568" t="s">
        <v>16</v>
      </c>
      <c r="D568" t="s">
        <v>1977</v>
      </c>
      <c r="E568" t="s">
        <v>18</v>
      </c>
      <c r="F568" t="s">
        <v>502</v>
      </c>
      <c r="G568" t="s">
        <v>502</v>
      </c>
      <c r="H568" t="s">
        <v>502</v>
      </c>
      <c r="I568" t="s">
        <v>30</v>
      </c>
      <c r="J568" t="s">
        <v>1978</v>
      </c>
      <c r="K568" t="str">
        <f>"135"</f>
        <v>135</v>
      </c>
      <c r="L568" t="str">
        <f>""</f>
        <v/>
      </c>
      <c r="M568" t="str">
        <f>"26-600"</f>
        <v>26-600</v>
      </c>
      <c r="N568" t="str">
        <f>"0510832823"</f>
        <v>0510832823</v>
      </c>
      <c r="O568" t="s">
        <v>1979</v>
      </c>
      <c r="P568" t="s">
        <v>24</v>
      </c>
    </row>
    <row r="569" spans="1:16" hidden="1" x14ac:dyDescent="0.25">
      <c r="A569">
        <v>22076</v>
      </c>
      <c r="B569" t="str">
        <f>"021978459"</f>
        <v>021978459</v>
      </c>
      <c r="C569" t="s">
        <v>25</v>
      </c>
      <c r="D569" t="s">
        <v>1980</v>
      </c>
      <c r="E569" t="s">
        <v>64</v>
      </c>
      <c r="F569" t="s">
        <v>841</v>
      </c>
      <c r="G569" t="s">
        <v>1582</v>
      </c>
      <c r="H569" t="s">
        <v>1582</v>
      </c>
      <c r="I569" t="s">
        <v>30</v>
      </c>
      <c r="J569" t="s">
        <v>1460</v>
      </c>
      <c r="K569" t="str">
        <f>"19"</f>
        <v>19</v>
      </c>
      <c r="L569" t="str">
        <f>""</f>
        <v/>
      </c>
      <c r="M569" t="str">
        <f>"58-100"</f>
        <v>58-100</v>
      </c>
      <c r="N569" t="str">
        <f>"691730280"</f>
        <v>691730280</v>
      </c>
      <c r="O569" t="s">
        <v>1981</v>
      </c>
      <c r="P569" t="s">
        <v>24</v>
      </c>
    </row>
    <row r="570" spans="1:16" hidden="1" x14ac:dyDescent="0.25">
      <c r="A570">
        <v>89472</v>
      </c>
      <c r="B570" t="str">
        <f>"146471812"</f>
        <v>146471812</v>
      </c>
      <c r="C570" t="s">
        <v>16</v>
      </c>
      <c r="D570" t="s">
        <v>1982</v>
      </c>
      <c r="E570" t="s">
        <v>18</v>
      </c>
      <c r="F570" t="s">
        <v>19</v>
      </c>
      <c r="G570" t="s">
        <v>886</v>
      </c>
      <c r="H570" t="s">
        <v>886</v>
      </c>
      <c r="I570" t="s">
        <v>21</v>
      </c>
      <c r="J570" t="s">
        <v>1983</v>
      </c>
      <c r="K570" t="str">
        <f>"21"</f>
        <v>21</v>
      </c>
      <c r="L570" t="str">
        <f>""</f>
        <v/>
      </c>
      <c r="M570" t="str">
        <f>"02-613"</f>
        <v>02-613</v>
      </c>
      <c r="N570" t="str">
        <f>"0228444429"</f>
        <v>0228444429</v>
      </c>
      <c r="O570" t="s">
        <v>1984</v>
      </c>
      <c r="P570" t="s">
        <v>24</v>
      </c>
    </row>
    <row r="571" spans="1:16" hidden="1" x14ac:dyDescent="0.25">
      <c r="A571">
        <v>105718</v>
      </c>
      <c r="B571" t="str">
        <f>"061507480"</f>
        <v>061507480</v>
      </c>
      <c r="C571" t="s">
        <v>16</v>
      </c>
      <c r="D571" t="s">
        <v>1985</v>
      </c>
      <c r="E571" t="s">
        <v>112</v>
      </c>
      <c r="F571" t="s">
        <v>113</v>
      </c>
      <c r="G571" t="s">
        <v>113</v>
      </c>
      <c r="H571" t="s">
        <v>113</v>
      </c>
      <c r="I571" t="s">
        <v>30</v>
      </c>
      <c r="J571" t="s">
        <v>1986</v>
      </c>
      <c r="K571" t="str">
        <f>"5"</f>
        <v>5</v>
      </c>
      <c r="L571" t="str">
        <f>""</f>
        <v/>
      </c>
      <c r="M571" t="str">
        <f>"20-840"</f>
        <v>20-840</v>
      </c>
      <c r="N571" t="str">
        <f>"817421293"</f>
        <v>817421293</v>
      </c>
      <c r="O571" t="s">
        <v>1987</v>
      </c>
      <c r="P571" t="s">
        <v>24</v>
      </c>
    </row>
    <row r="572" spans="1:16" hidden="1" x14ac:dyDescent="0.25">
      <c r="A572">
        <v>69392</v>
      </c>
      <c r="B572" t="str">
        <f>"221771663"</f>
        <v>221771663</v>
      </c>
      <c r="C572" t="s">
        <v>16</v>
      </c>
      <c r="D572" t="s">
        <v>1988</v>
      </c>
      <c r="E572" t="s">
        <v>80</v>
      </c>
      <c r="F572" t="s">
        <v>339</v>
      </c>
      <c r="G572" t="s">
        <v>339</v>
      </c>
      <c r="H572" t="s">
        <v>339</v>
      </c>
      <c r="I572" t="s">
        <v>30</v>
      </c>
      <c r="J572" t="s">
        <v>1989</v>
      </c>
      <c r="K572" t="str">
        <f>"11"</f>
        <v>11</v>
      </c>
      <c r="L572" t="str">
        <f>""</f>
        <v/>
      </c>
      <c r="M572" t="str">
        <f>"80-371"</f>
        <v>80-371</v>
      </c>
      <c r="N572" t="str">
        <f>"517494714"</f>
        <v>517494714</v>
      </c>
      <c r="O572" t="s">
        <v>1990</v>
      </c>
      <c r="P572" t="s">
        <v>24</v>
      </c>
    </row>
    <row r="573" spans="1:16" hidden="1" x14ac:dyDescent="0.25">
      <c r="A573">
        <v>264348</v>
      </c>
      <c r="B573" t="str">
        <f>"368317329"</f>
        <v>368317329</v>
      </c>
      <c r="C573" t="s">
        <v>16</v>
      </c>
      <c r="D573" t="s">
        <v>1991</v>
      </c>
      <c r="E573" t="s">
        <v>80</v>
      </c>
      <c r="F573" t="s">
        <v>1992</v>
      </c>
      <c r="G573" t="s">
        <v>1992</v>
      </c>
      <c r="H573" t="s">
        <v>1992</v>
      </c>
      <c r="I573" t="s">
        <v>30</v>
      </c>
      <c r="J573" t="s">
        <v>336</v>
      </c>
      <c r="K573" t="str">
        <f>"7"</f>
        <v>7</v>
      </c>
      <c r="L573" t="str">
        <f>""</f>
        <v/>
      </c>
      <c r="M573" t="str">
        <f>"81-855"</f>
        <v>81-855</v>
      </c>
      <c r="N573" t="str">
        <f>"510061140"</f>
        <v>510061140</v>
      </c>
      <c r="O573" t="s">
        <v>1993</v>
      </c>
      <c r="P573" t="s">
        <v>24</v>
      </c>
    </row>
    <row r="574" spans="1:16" hidden="1" x14ac:dyDescent="0.25">
      <c r="A574">
        <v>478071</v>
      </c>
      <c r="B574" t="str">
        <f>"522123856"</f>
        <v>522123856</v>
      </c>
      <c r="C574" t="s">
        <v>16</v>
      </c>
      <c r="D574" t="s">
        <v>1994</v>
      </c>
      <c r="E574" t="s">
        <v>181</v>
      </c>
      <c r="F574" t="s">
        <v>437</v>
      </c>
      <c r="G574" t="s">
        <v>437</v>
      </c>
      <c r="H574" t="s">
        <v>437</v>
      </c>
      <c r="I574" t="s">
        <v>30</v>
      </c>
      <c r="J574" t="s">
        <v>1995</v>
      </c>
      <c r="K574" t="str">
        <f>"2b"</f>
        <v>2b</v>
      </c>
      <c r="L574" t="str">
        <f>"23"</f>
        <v>23</v>
      </c>
      <c r="M574" t="str">
        <f>"85-094"</f>
        <v>85-094</v>
      </c>
      <c r="N574" t="str">
        <f>"523070077"</f>
        <v>523070077</v>
      </c>
      <c r="O574" t="s">
        <v>1996</v>
      </c>
      <c r="P574" t="s">
        <v>24</v>
      </c>
    </row>
    <row r="575" spans="1:16" hidden="1" x14ac:dyDescent="0.25">
      <c r="A575">
        <v>481538</v>
      </c>
      <c r="B575" t="str">
        <f>"527394620"</f>
        <v>527394620</v>
      </c>
      <c r="C575" t="s">
        <v>16</v>
      </c>
      <c r="D575" t="s">
        <v>1997</v>
      </c>
      <c r="E575" t="s">
        <v>27</v>
      </c>
      <c r="F575" t="s">
        <v>284</v>
      </c>
      <c r="G575" t="s">
        <v>1998</v>
      </c>
      <c r="H575" t="s">
        <v>1999</v>
      </c>
      <c r="I575" t="s">
        <v>68</v>
      </c>
      <c r="K575" t="str">
        <f>"88"</f>
        <v>88</v>
      </c>
      <c r="L575" t="str">
        <f>""</f>
        <v/>
      </c>
      <c r="M575" t="str">
        <f>"32-353"</f>
        <v>32-353</v>
      </c>
      <c r="N575" t="str">
        <f>"511420781"</f>
        <v>511420781</v>
      </c>
      <c r="O575" t="s">
        <v>2000</v>
      </c>
      <c r="P575" t="s">
        <v>24</v>
      </c>
    </row>
    <row r="576" spans="1:16" hidden="1" x14ac:dyDescent="0.25">
      <c r="A576">
        <v>128975</v>
      </c>
      <c r="B576" t="str">
        <f>"362436850"</f>
        <v>362436850</v>
      </c>
      <c r="C576" t="s">
        <v>16</v>
      </c>
      <c r="D576" t="s">
        <v>2001</v>
      </c>
      <c r="E576" t="s">
        <v>117</v>
      </c>
      <c r="F576" t="s">
        <v>2002</v>
      </c>
      <c r="G576" t="s">
        <v>2003</v>
      </c>
      <c r="H576" t="s">
        <v>2003</v>
      </c>
      <c r="I576" t="s">
        <v>68</v>
      </c>
      <c r="J576" t="s">
        <v>2004</v>
      </c>
      <c r="K576" t="str">
        <f>"12"</f>
        <v>12</v>
      </c>
      <c r="L576" t="str">
        <f>""</f>
        <v/>
      </c>
      <c r="M576" t="str">
        <f>"43-250"</f>
        <v>43-250</v>
      </c>
      <c r="N576" t="str">
        <f>"501666216"</f>
        <v>501666216</v>
      </c>
      <c r="O576" t="s">
        <v>2005</v>
      </c>
      <c r="P576" t="s">
        <v>24</v>
      </c>
    </row>
    <row r="577" spans="1:16" hidden="1" x14ac:dyDescent="0.25">
      <c r="A577">
        <v>128337</v>
      </c>
      <c r="B577" t="str">
        <f>"362247852"</f>
        <v>362247852</v>
      </c>
      <c r="C577" t="s">
        <v>16</v>
      </c>
      <c r="D577" t="s">
        <v>2006</v>
      </c>
      <c r="E577" t="s">
        <v>18</v>
      </c>
      <c r="F577" t="s">
        <v>1175</v>
      </c>
      <c r="G577" t="s">
        <v>1176</v>
      </c>
      <c r="H577" t="s">
        <v>1176</v>
      </c>
      <c r="I577" t="s">
        <v>30</v>
      </c>
      <c r="J577" t="s">
        <v>2007</v>
      </c>
      <c r="K577" t="str">
        <f>"34"</f>
        <v>34</v>
      </c>
      <c r="L577" t="str">
        <f>""</f>
        <v/>
      </c>
      <c r="M577" t="str">
        <f>"08-400"</f>
        <v>08-400</v>
      </c>
      <c r="N577" t="str">
        <f>"662290570"</f>
        <v>662290570</v>
      </c>
      <c r="O577" t="s">
        <v>2008</v>
      </c>
      <c r="P577" t="s">
        <v>24</v>
      </c>
    </row>
    <row r="578" spans="1:16" hidden="1" x14ac:dyDescent="0.25">
      <c r="A578">
        <v>269289</v>
      </c>
      <c r="B578" t="str">
        <f>"381429430"</f>
        <v>381429430</v>
      </c>
      <c r="C578" t="s">
        <v>16</v>
      </c>
      <c r="D578" t="s">
        <v>2009</v>
      </c>
      <c r="E578" t="s">
        <v>80</v>
      </c>
      <c r="F578" t="s">
        <v>549</v>
      </c>
      <c r="G578" t="s">
        <v>550</v>
      </c>
      <c r="H578" t="s">
        <v>550</v>
      </c>
      <c r="I578" t="s">
        <v>30</v>
      </c>
      <c r="J578" t="s">
        <v>2010</v>
      </c>
      <c r="K578" t="str">
        <f>"10"</f>
        <v>10</v>
      </c>
      <c r="L578" t="str">
        <f>""</f>
        <v/>
      </c>
      <c r="M578" t="str">
        <f>"84-300"</f>
        <v>84-300</v>
      </c>
      <c r="N578" t="str">
        <f>"693561683"</f>
        <v>693561683</v>
      </c>
      <c r="O578" t="s">
        <v>2011</v>
      </c>
      <c r="P578" t="s">
        <v>24</v>
      </c>
    </row>
    <row r="579" spans="1:16" hidden="1" x14ac:dyDescent="0.25">
      <c r="A579">
        <v>129831</v>
      </c>
      <c r="B579" t="str">
        <f>"362951500"</f>
        <v>362951500</v>
      </c>
      <c r="C579" t="s">
        <v>25</v>
      </c>
      <c r="D579" t="s">
        <v>2012</v>
      </c>
      <c r="E579" t="s">
        <v>27</v>
      </c>
      <c r="F579" t="s">
        <v>554</v>
      </c>
      <c r="G579" t="s">
        <v>555</v>
      </c>
      <c r="H579" t="s">
        <v>555</v>
      </c>
      <c r="I579" t="s">
        <v>30</v>
      </c>
      <c r="J579" t="s">
        <v>2013</v>
      </c>
      <c r="K579" t="str">
        <f>"6"</f>
        <v>6</v>
      </c>
      <c r="L579" t="str">
        <f>""</f>
        <v/>
      </c>
      <c r="M579" t="str">
        <f>"32-020"</f>
        <v>32-020</v>
      </c>
      <c r="N579" t="str">
        <f>"605247203"</f>
        <v>605247203</v>
      </c>
      <c r="O579" t="s">
        <v>2014</v>
      </c>
      <c r="P579" t="s">
        <v>24</v>
      </c>
    </row>
    <row r="580" spans="1:16" hidden="1" x14ac:dyDescent="0.25">
      <c r="A580">
        <v>269288</v>
      </c>
      <c r="B580" t="str">
        <f>"381426287"</f>
        <v>381426287</v>
      </c>
      <c r="C580" t="s">
        <v>16</v>
      </c>
      <c r="D580" t="s">
        <v>2015</v>
      </c>
      <c r="E580" t="s">
        <v>80</v>
      </c>
      <c r="F580" t="s">
        <v>549</v>
      </c>
      <c r="G580" t="s">
        <v>550</v>
      </c>
      <c r="H580" t="s">
        <v>550</v>
      </c>
      <c r="I580" t="s">
        <v>30</v>
      </c>
      <c r="J580" t="s">
        <v>2010</v>
      </c>
      <c r="K580" t="str">
        <f>"10"</f>
        <v>10</v>
      </c>
      <c r="L580" t="str">
        <f>""</f>
        <v/>
      </c>
      <c r="M580" t="str">
        <f>"84-300"</f>
        <v>84-300</v>
      </c>
      <c r="N580" t="str">
        <f>"661085985"</f>
        <v>661085985</v>
      </c>
      <c r="O580" t="s">
        <v>2016</v>
      </c>
      <c r="P580" t="s">
        <v>24</v>
      </c>
    </row>
    <row r="581" spans="1:16" hidden="1" x14ac:dyDescent="0.25">
      <c r="A581">
        <v>481087</v>
      </c>
      <c r="B581" t="str">
        <f>"526482061"</f>
        <v>526482061</v>
      </c>
      <c r="C581" t="s">
        <v>16</v>
      </c>
      <c r="D581" t="s">
        <v>2017</v>
      </c>
      <c r="E581" t="s">
        <v>64</v>
      </c>
      <c r="F581" t="s">
        <v>227</v>
      </c>
      <c r="G581" t="s">
        <v>228</v>
      </c>
      <c r="H581" t="s">
        <v>228</v>
      </c>
      <c r="I581" t="s">
        <v>30</v>
      </c>
      <c r="J581" t="s">
        <v>1051</v>
      </c>
      <c r="K581" t="str">
        <f>"5"</f>
        <v>5</v>
      </c>
      <c r="L581" t="str">
        <f>""</f>
        <v/>
      </c>
      <c r="M581" t="str">
        <f>"58-200"</f>
        <v>58-200</v>
      </c>
      <c r="N581" t="str">
        <f>"502291618"</f>
        <v>502291618</v>
      </c>
      <c r="O581" t="s">
        <v>2018</v>
      </c>
      <c r="P581" t="s">
        <v>24</v>
      </c>
    </row>
    <row r="582" spans="1:16" hidden="1" x14ac:dyDescent="0.25">
      <c r="A582">
        <v>130212</v>
      </c>
      <c r="B582" t="str">
        <f>"363644762"</f>
        <v>363644762</v>
      </c>
      <c r="C582" t="s">
        <v>16</v>
      </c>
      <c r="D582" t="s">
        <v>2019</v>
      </c>
      <c r="E582" t="s">
        <v>39</v>
      </c>
      <c r="F582" t="s">
        <v>40</v>
      </c>
      <c r="G582" t="s">
        <v>41</v>
      </c>
      <c r="H582" t="s">
        <v>41</v>
      </c>
      <c r="I582" t="s">
        <v>42</v>
      </c>
      <c r="J582" t="s">
        <v>2020</v>
      </c>
      <c r="K582" t="str">
        <f>"54"</f>
        <v>54</v>
      </c>
      <c r="L582" t="str">
        <f>"56"</f>
        <v>56</v>
      </c>
      <c r="M582" t="str">
        <f>"91-463"</f>
        <v>91-463</v>
      </c>
      <c r="N582" t="str">
        <f>"605392410"</f>
        <v>605392410</v>
      </c>
      <c r="O582" t="s">
        <v>2021</v>
      </c>
      <c r="P582" t="s">
        <v>24</v>
      </c>
    </row>
    <row r="583" spans="1:16" hidden="1" x14ac:dyDescent="0.25">
      <c r="A583">
        <v>130799</v>
      </c>
      <c r="B583" t="str">
        <f>"364534797"</f>
        <v>364534797</v>
      </c>
      <c r="C583" t="s">
        <v>16</v>
      </c>
      <c r="D583" t="s">
        <v>2022</v>
      </c>
      <c r="E583" t="s">
        <v>112</v>
      </c>
      <c r="F583" t="s">
        <v>2023</v>
      </c>
      <c r="G583" t="s">
        <v>2024</v>
      </c>
      <c r="H583" t="s">
        <v>2024</v>
      </c>
      <c r="I583" t="s">
        <v>68</v>
      </c>
      <c r="J583" t="s">
        <v>444</v>
      </c>
      <c r="K583" t="str">
        <f>"31"</f>
        <v>31</v>
      </c>
      <c r="L583" t="str">
        <f>""</f>
        <v/>
      </c>
      <c r="M583" t="str">
        <f>"21-470"</f>
        <v>21-470</v>
      </c>
      <c r="N583" t="str">
        <f>"502754920"</f>
        <v>502754920</v>
      </c>
      <c r="O583" t="s">
        <v>2025</v>
      </c>
      <c r="P583" t="s">
        <v>24</v>
      </c>
    </row>
    <row r="584" spans="1:16" hidden="1" x14ac:dyDescent="0.25">
      <c r="A584">
        <v>31256</v>
      </c>
      <c r="B584" t="str">
        <f>"321285706"</f>
        <v>321285706</v>
      </c>
      <c r="C584" t="s">
        <v>25</v>
      </c>
      <c r="D584" t="s">
        <v>2022</v>
      </c>
      <c r="E584" t="s">
        <v>34</v>
      </c>
      <c r="F584" t="s">
        <v>421</v>
      </c>
      <c r="G584" t="s">
        <v>421</v>
      </c>
      <c r="H584" t="s">
        <v>421</v>
      </c>
      <c r="I584" t="s">
        <v>30</v>
      </c>
      <c r="J584" t="s">
        <v>2026</v>
      </c>
      <c r="K584" t="str">
        <f>"13"</f>
        <v>13</v>
      </c>
      <c r="L584" t="str">
        <f>""</f>
        <v/>
      </c>
      <c r="M584" t="str">
        <f>"75-692"</f>
        <v>75-692</v>
      </c>
      <c r="N584" t="str">
        <f>"943461695"</f>
        <v>943461695</v>
      </c>
      <c r="O584" t="s">
        <v>2027</v>
      </c>
      <c r="P584" t="s">
        <v>24</v>
      </c>
    </row>
    <row r="585" spans="1:16" hidden="1" x14ac:dyDescent="0.25">
      <c r="A585">
        <v>132208</v>
      </c>
      <c r="B585" t="str">
        <f>"365507354"</f>
        <v>365507354</v>
      </c>
      <c r="C585" t="s">
        <v>25</v>
      </c>
      <c r="D585" t="s">
        <v>2028</v>
      </c>
      <c r="E585" t="s">
        <v>27</v>
      </c>
      <c r="F585" t="s">
        <v>123</v>
      </c>
      <c r="G585" t="s">
        <v>124</v>
      </c>
      <c r="H585" t="s">
        <v>124</v>
      </c>
      <c r="I585" t="s">
        <v>42</v>
      </c>
      <c r="J585" t="s">
        <v>2029</v>
      </c>
      <c r="K585" t="str">
        <f>"228"</f>
        <v>228</v>
      </c>
      <c r="L585" t="str">
        <f>""</f>
        <v/>
      </c>
      <c r="M585" t="str">
        <f>"30-663"</f>
        <v>30-663</v>
      </c>
      <c r="N585" t="str">
        <f>"692791770"</f>
        <v>692791770</v>
      </c>
      <c r="O585" t="s">
        <v>2030</v>
      </c>
      <c r="P585" t="s">
        <v>24</v>
      </c>
    </row>
    <row r="586" spans="1:16" hidden="1" x14ac:dyDescent="0.25">
      <c r="A586">
        <v>128976</v>
      </c>
      <c r="B586" t="str">
        <f>"362436872"</f>
        <v>362436872</v>
      </c>
      <c r="C586" t="s">
        <v>16</v>
      </c>
      <c r="D586" t="s">
        <v>2031</v>
      </c>
      <c r="E586" t="s">
        <v>117</v>
      </c>
      <c r="F586" t="s">
        <v>2002</v>
      </c>
      <c r="G586" t="s">
        <v>2003</v>
      </c>
      <c r="H586" t="s">
        <v>2003</v>
      </c>
      <c r="I586" t="s">
        <v>68</v>
      </c>
      <c r="J586" t="s">
        <v>908</v>
      </c>
      <c r="K586" t="str">
        <f>"56"</f>
        <v>56</v>
      </c>
      <c r="L586" t="str">
        <f>""</f>
        <v/>
      </c>
      <c r="M586" t="str">
        <f>"43-251"</f>
        <v>43-251</v>
      </c>
      <c r="N586" t="str">
        <f>"502404189"</f>
        <v>502404189</v>
      </c>
      <c r="O586" t="s">
        <v>2032</v>
      </c>
      <c r="P586" t="s">
        <v>24</v>
      </c>
    </row>
    <row r="587" spans="1:16" hidden="1" x14ac:dyDescent="0.25">
      <c r="A587">
        <v>273452</v>
      </c>
      <c r="B587" t="str">
        <f>"384472158"</f>
        <v>384472158</v>
      </c>
      <c r="C587" t="s">
        <v>16</v>
      </c>
      <c r="D587" t="s">
        <v>2033</v>
      </c>
      <c r="E587" t="s">
        <v>416</v>
      </c>
      <c r="F587" t="s">
        <v>417</v>
      </c>
      <c r="G587" t="s">
        <v>417</v>
      </c>
      <c r="H587" t="s">
        <v>417</v>
      </c>
      <c r="I587" t="s">
        <v>30</v>
      </c>
      <c r="J587" t="s">
        <v>2034</v>
      </c>
      <c r="K587" t="str">
        <f>"2"</f>
        <v>2</v>
      </c>
      <c r="L587" t="str">
        <f>"5a i 5b"</f>
        <v>5a i 5b</v>
      </c>
      <c r="M587" t="str">
        <f>"45-339"</f>
        <v>45-339</v>
      </c>
      <c r="N587" t="str">
        <f>"604155156"</f>
        <v>604155156</v>
      </c>
      <c r="O587" t="s">
        <v>2035</v>
      </c>
      <c r="P587" t="s">
        <v>24</v>
      </c>
    </row>
    <row r="588" spans="1:16" hidden="1" x14ac:dyDescent="0.25">
      <c r="A588">
        <v>131747</v>
      </c>
      <c r="B588" t="str">
        <f>"365339276"</f>
        <v>365339276</v>
      </c>
      <c r="C588" t="s">
        <v>16</v>
      </c>
      <c r="D588" t="s">
        <v>2037</v>
      </c>
      <c r="E588" t="s">
        <v>117</v>
      </c>
      <c r="F588" t="s">
        <v>1170</v>
      </c>
      <c r="G588" t="s">
        <v>1171</v>
      </c>
      <c r="H588" t="s">
        <v>1171</v>
      </c>
      <c r="I588" t="s">
        <v>30</v>
      </c>
      <c r="J588" t="s">
        <v>2038</v>
      </c>
      <c r="K588" t="str">
        <f>"1"</f>
        <v>1</v>
      </c>
      <c r="L588" t="str">
        <f>""</f>
        <v/>
      </c>
      <c r="M588" t="str">
        <f>"44-300"</f>
        <v>44-300</v>
      </c>
      <c r="N588" t="str">
        <f>"693561683"</f>
        <v>693561683</v>
      </c>
      <c r="O588" t="s">
        <v>2011</v>
      </c>
      <c r="P588" t="s">
        <v>24</v>
      </c>
    </row>
    <row r="589" spans="1:16" hidden="1" x14ac:dyDescent="0.25">
      <c r="A589">
        <v>274681</v>
      </c>
      <c r="B589" t="str">
        <f>"386229054"</f>
        <v>386229054</v>
      </c>
      <c r="C589" t="s">
        <v>16</v>
      </c>
      <c r="D589" t="s">
        <v>2039</v>
      </c>
      <c r="E589" t="s">
        <v>64</v>
      </c>
      <c r="F589" t="s">
        <v>227</v>
      </c>
      <c r="G589" t="s">
        <v>228</v>
      </c>
      <c r="H589" t="s">
        <v>228</v>
      </c>
      <c r="I589" t="s">
        <v>30</v>
      </c>
      <c r="J589" t="s">
        <v>1051</v>
      </c>
      <c r="K589" t="str">
        <f>"5"</f>
        <v>5</v>
      </c>
      <c r="L589" t="str">
        <f>""</f>
        <v/>
      </c>
      <c r="M589" t="str">
        <f>"58-200"</f>
        <v>58-200</v>
      </c>
      <c r="N589" t="str">
        <f>"502291618"</f>
        <v>502291618</v>
      </c>
      <c r="O589" t="s">
        <v>2018</v>
      </c>
      <c r="P589" t="s">
        <v>24</v>
      </c>
    </row>
    <row r="590" spans="1:16" hidden="1" x14ac:dyDescent="0.25">
      <c r="A590">
        <v>126722</v>
      </c>
      <c r="B590" t="str">
        <f>"360661725"</f>
        <v>360661725</v>
      </c>
      <c r="C590" t="s">
        <v>16</v>
      </c>
      <c r="D590" t="s">
        <v>2040</v>
      </c>
      <c r="E590" t="s">
        <v>18</v>
      </c>
      <c r="F590" t="s">
        <v>19</v>
      </c>
      <c r="G590" t="s">
        <v>886</v>
      </c>
      <c r="H590" t="s">
        <v>886</v>
      </c>
      <c r="I590" t="s">
        <v>21</v>
      </c>
      <c r="J590" t="s">
        <v>1305</v>
      </c>
      <c r="K590" t="str">
        <f>"27"</f>
        <v>27</v>
      </c>
      <c r="L590" t="str">
        <f>""</f>
        <v/>
      </c>
      <c r="M590" t="str">
        <f>"02-601"</f>
        <v>02-601</v>
      </c>
      <c r="N590" t="str">
        <f>"660574299"</f>
        <v>660574299</v>
      </c>
      <c r="O590" t="s">
        <v>2041</v>
      </c>
      <c r="P590" t="s">
        <v>24</v>
      </c>
    </row>
    <row r="591" spans="1:16" hidden="1" x14ac:dyDescent="0.25">
      <c r="A591">
        <v>126717</v>
      </c>
      <c r="B591" t="str">
        <f>"360655720"</f>
        <v>360655720</v>
      </c>
      <c r="C591" t="s">
        <v>25</v>
      </c>
      <c r="D591" t="s">
        <v>2042</v>
      </c>
      <c r="E591" t="s">
        <v>34</v>
      </c>
      <c r="F591" t="s">
        <v>529</v>
      </c>
      <c r="G591" t="s">
        <v>530</v>
      </c>
      <c r="H591" t="s">
        <v>530</v>
      </c>
      <c r="I591" t="s">
        <v>30</v>
      </c>
      <c r="J591" t="s">
        <v>2043</v>
      </c>
      <c r="K591" t="str">
        <f>"11"</f>
        <v>11</v>
      </c>
      <c r="L591" t="str">
        <f>""</f>
        <v/>
      </c>
      <c r="M591" t="str">
        <f>"78-400"</f>
        <v>78-400</v>
      </c>
      <c r="N591" t="str">
        <f>"531740007"</f>
        <v>531740007</v>
      </c>
      <c r="O591" t="s">
        <v>528</v>
      </c>
      <c r="P591" t="s">
        <v>24</v>
      </c>
    </row>
    <row r="592" spans="1:16" hidden="1" x14ac:dyDescent="0.25">
      <c r="A592">
        <v>122802</v>
      </c>
      <c r="B592" t="str">
        <f>"161583123"</f>
        <v>161583123</v>
      </c>
      <c r="C592" t="s">
        <v>16</v>
      </c>
      <c r="D592" t="s">
        <v>2044</v>
      </c>
      <c r="E592" t="s">
        <v>416</v>
      </c>
      <c r="F592" t="s">
        <v>417</v>
      </c>
      <c r="G592" t="s">
        <v>417</v>
      </c>
      <c r="H592" t="s">
        <v>417</v>
      </c>
      <c r="I592" t="s">
        <v>30</v>
      </c>
      <c r="J592" t="s">
        <v>2045</v>
      </c>
      <c r="K592" t="str">
        <f>"36"</f>
        <v>36</v>
      </c>
      <c r="L592" t="str">
        <f>""</f>
        <v/>
      </c>
      <c r="M592" t="str">
        <f>"45-307"</f>
        <v>45-307</v>
      </c>
      <c r="N592" t="str">
        <f>"774458555"</f>
        <v>774458555</v>
      </c>
      <c r="O592" t="s">
        <v>2046</v>
      </c>
      <c r="P592" t="s">
        <v>24</v>
      </c>
    </row>
    <row r="593" spans="1:16" hidden="1" x14ac:dyDescent="0.25">
      <c r="A593">
        <v>275856</v>
      </c>
      <c r="B593" t="str">
        <f>"386944727"</f>
        <v>386944727</v>
      </c>
      <c r="C593" t="s">
        <v>16</v>
      </c>
      <c r="D593" t="s">
        <v>2047</v>
      </c>
      <c r="E593" t="s">
        <v>117</v>
      </c>
      <c r="F593" t="s">
        <v>2048</v>
      </c>
      <c r="G593" t="s">
        <v>2049</v>
      </c>
      <c r="H593" t="s">
        <v>2049</v>
      </c>
      <c r="I593" t="s">
        <v>30</v>
      </c>
      <c r="J593" t="s">
        <v>2050</v>
      </c>
      <c r="K593" t="str">
        <f>"43"</f>
        <v>43</v>
      </c>
      <c r="L593" t="str">
        <f>"1"</f>
        <v>1</v>
      </c>
      <c r="M593" t="str">
        <f>"44-190"</f>
        <v>44-190</v>
      </c>
      <c r="N593" t="str">
        <f>"692434342"</f>
        <v>692434342</v>
      </c>
      <c r="O593" t="s">
        <v>2051</v>
      </c>
      <c r="P593" t="s">
        <v>24</v>
      </c>
    </row>
    <row r="594" spans="1:16" hidden="1" x14ac:dyDescent="0.25">
      <c r="A594">
        <v>129781</v>
      </c>
      <c r="B594" t="str">
        <f>"362874744"</f>
        <v>362874744</v>
      </c>
      <c r="C594" t="s">
        <v>16</v>
      </c>
      <c r="D594" t="s">
        <v>2052</v>
      </c>
      <c r="E594" t="s">
        <v>101</v>
      </c>
      <c r="F594" t="s">
        <v>102</v>
      </c>
      <c r="G594" t="s">
        <v>102</v>
      </c>
      <c r="H594" t="s">
        <v>102</v>
      </c>
      <c r="I594" t="s">
        <v>30</v>
      </c>
      <c r="J594" t="s">
        <v>2053</v>
      </c>
      <c r="K594" t="str">
        <f>"9"</f>
        <v>9</v>
      </c>
      <c r="L594" t="str">
        <f>""</f>
        <v/>
      </c>
      <c r="M594" t="str">
        <f>"35-051"</f>
        <v>35-051</v>
      </c>
      <c r="N594" t="str">
        <f>"537536538"</f>
        <v>537536538</v>
      </c>
      <c r="P594" t="s">
        <v>24</v>
      </c>
    </row>
    <row r="595" spans="1:16" hidden="1" x14ac:dyDescent="0.25">
      <c r="A595">
        <v>14425</v>
      </c>
      <c r="B595" t="str">
        <f>"021970877"</f>
        <v>021970877</v>
      </c>
      <c r="C595" t="s">
        <v>16</v>
      </c>
      <c r="D595" t="s">
        <v>2054</v>
      </c>
      <c r="E595" t="s">
        <v>64</v>
      </c>
      <c r="F595" t="s">
        <v>255</v>
      </c>
      <c r="G595" t="s">
        <v>256</v>
      </c>
      <c r="H595" t="s">
        <v>256</v>
      </c>
      <c r="I595" t="s">
        <v>42</v>
      </c>
      <c r="J595" t="s">
        <v>2055</v>
      </c>
      <c r="K595" t="str">
        <f>"8a"</f>
        <v>8a</v>
      </c>
      <c r="L595" t="str">
        <f>""</f>
        <v/>
      </c>
      <c r="M595" t="str">
        <f>"50-088"</f>
        <v>50-088</v>
      </c>
      <c r="N595" t="str">
        <f>"713670544"</f>
        <v>713670544</v>
      </c>
      <c r="O595" t="s">
        <v>2056</v>
      </c>
      <c r="P595" t="s">
        <v>24</v>
      </c>
    </row>
    <row r="596" spans="1:16" hidden="1" x14ac:dyDescent="0.25">
      <c r="A596">
        <v>480772</v>
      </c>
      <c r="B596" t="str">
        <f>"526308073"</f>
        <v>526308073</v>
      </c>
      <c r="C596" t="s">
        <v>25</v>
      </c>
      <c r="D596" t="s">
        <v>2057</v>
      </c>
      <c r="E596" t="s">
        <v>27</v>
      </c>
      <c r="F596" t="s">
        <v>123</v>
      </c>
      <c r="G596" t="s">
        <v>141</v>
      </c>
      <c r="H596" t="s">
        <v>141</v>
      </c>
      <c r="I596" t="s">
        <v>42</v>
      </c>
      <c r="J596" t="s">
        <v>2058</v>
      </c>
      <c r="K596" t="str">
        <f>"10"</f>
        <v>10</v>
      </c>
      <c r="L596" t="str">
        <f>""</f>
        <v/>
      </c>
      <c r="M596" t="str">
        <f>"30-002"</f>
        <v>30-002</v>
      </c>
      <c r="N596" t="str">
        <f>"664942250"</f>
        <v>664942250</v>
      </c>
      <c r="O596" t="s">
        <v>2059</v>
      </c>
      <c r="P596" t="s">
        <v>24</v>
      </c>
    </row>
    <row r="597" spans="1:16" hidden="1" x14ac:dyDescent="0.25">
      <c r="A597">
        <v>125145</v>
      </c>
      <c r="B597" t="str">
        <f>"147428110"</f>
        <v>147428110</v>
      </c>
      <c r="C597" t="s">
        <v>16</v>
      </c>
      <c r="D597" t="s">
        <v>2060</v>
      </c>
      <c r="E597" t="s">
        <v>18</v>
      </c>
      <c r="F597" t="s">
        <v>19</v>
      </c>
      <c r="G597" t="s">
        <v>905</v>
      </c>
      <c r="H597" t="s">
        <v>905</v>
      </c>
      <c r="I597" t="s">
        <v>21</v>
      </c>
      <c r="J597" t="s">
        <v>564</v>
      </c>
      <c r="K597" t="str">
        <f>"4"</f>
        <v>4</v>
      </c>
      <c r="L597" t="str">
        <f>""</f>
        <v/>
      </c>
      <c r="M597" t="str">
        <f>"01-136"</f>
        <v>01-136</v>
      </c>
      <c r="N597" t="str">
        <f>"728961046"</f>
        <v>728961046</v>
      </c>
      <c r="O597" t="s">
        <v>2061</v>
      </c>
      <c r="P597" t="s">
        <v>24</v>
      </c>
    </row>
    <row r="598" spans="1:16" hidden="1" x14ac:dyDescent="0.25">
      <c r="A598">
        <v>278649</v>
      </c>
      <c r="B598" t="str">
        <f>"520013840"</f>
        <v>520013840</v>
      </c>
      <c r="C598" t="s">
        <v>16</v>
      </c>
      <c r="D598" t="s">
        <v>2062</v>
      </c>
      <c r="E598" t="s">
        <v>34</v>
      </c>
      <c r="F598" t="s">
        <v>1141</v>
      </c>
      <c r="G598" t="s">
        <v>1142</v>
      </c>
      <c r="H598" t="s">
        <v>1142</v>
      </c>
      <c r="I598" t="s">
        <v>30</v>
      </c>
      <c r="J598" t="s">
        <v>2063</v>
      </c>
      <c r="K598" t="str">
        <f>"37A"</f>
        <v>37A</v>
      </c>
      <c r="L598" t="str">
        <f>"3"</f>
        <v>3</v>
      </c>
      <c r="M598" t="str">
        <f>"78-300"</f>
        <v>78-300</v>
      </c>
      <c r="N598" t="str">
        <f>"602309159"</f>
        <v>602309159</v>
      </c>
      <c r="O598" t="s">
        <v>2064</v>
      </c>
      <c r="P598" t="s">
        <v>24</v>
      </c>
    </row>
    <row r="599" spans="1:16" hidden="1" x14ac:dyDescent="0.25">
      <c r="A599">
        <v>267830</v>
      </c>
      <c r="B599" t="str">
        <f>"380704583"</f>
        <v>380704583</v>
      </c>
      <c r="C599" t="s">
        <v>25</v>
      </c>
      <c r="D599" t="s">
        <v>2065</v>
      </c>
      <c r="E599" t="s">
        <v>27</v>
      </c>
      <c r="F599" t="s">
        <v>123</v>
      </c>
      <c r="G599" t="s">
        <v>124</v>
      </c>
      <c r="H599" t="s">
        <v>124</v>
      </c>
      <c r="I599" t="s">
        <v>42</v>
      </c>
      <c r="J599" t="s">
        <v>2066</v>
      </c>
      <c r="K599" t="str">
        <f>"34B"</f>
        <v>34B</v>
      </c>
      <c r="L599" t="str">
        <f>""</f>
        <v/>
      </c>
      <c r="M599" t="str">
        <f>"30-376"</f>
        <v>30-376</v>
      </c>
      <c r="N599" t="str">
        <f>"696852797"</f>
        <v>696852797</v>
      </c>
      <c r="O599" t="s">
        <v>2067</v>
      </c>
      <c r="P599" t="s">
        <v>24</v>
      </c>
    </row>
    <row r="600" spans="1:16" hidden="1" x14ac:dyDescent="0.25">
      <c r="A600">
        <v>85737</v>
      </c>
      <c r="B600" t="str">
        <f>"321301055"</f>
        <v>321301055</v>
      </c>
      <c r="C600" t="s">
        <v>16</v>
      </c>
      <c r="D600" t="s">
        <v>2068</v>
      </c>
      <c r="E600" t="s">
        <v>34</v>
      </c>
      <c r="F600" t="s">
        <v>35</v>
      </c>
      <c r="G600" t="s">
        <v>35</v>
      </c>
      <c r="H600" t="s">
        <v>35</v>
      </c>
      <c r="I600" t="s">
        <v>30</v>
      </c>
      <c r="J600" t="s">
        <v>2069</v>
      </c>
      <c r="K600" t="str">
        <f>"7a"</f>
        <v>7a</v>
      </c>
      <c r="L600" t="str">
        <f>""</f>
        <v/>
      </c>
      <c r="M600" t="str">
        <f>"70-392"</f>
        <v>70-392</v>
      </c>
      <c r="N600" t="str">
        <f>"913070646"</f>
        <v>913070646</v>
      </c>
      <c r="O600" t="s">
        <v>2070</v>
      </c>
      <c r="P600" t="s">
        <v>24</v>
      </c>
    </row>
    <row r="601" spans="1:16" hidden="1" x14ac:dyDescent="0.25">
      <c r="A601">
        <v>120252</v>
      </c>
      <c r="B601" t="str">
        <f>"146888044"</f>
        <v>146888044</v>
      </c>
      <c r="C601" t="s">
        <v>16</v>
      </c>
      <c r="D601" t="s">
        <v>2071</v>
      </c>
      <c r="E601" t="s">
        <v>18</v>
      </c>
      <c r="F601" t="s">
        <v>2072</v>
      </c>
      <c r="G601" t="s">
        <v>2073</v>
      </c>
      <c r="H601" t="s">
        <v>2073</v>
      </c>
      <c r="I601" t="s">
        <v>30</v>
      </c>
      <c r="J601" t="s">
        <v>1114</v>
      </c>
      <c r="K601" t="str">
        <f>"3A"</f>
        <v>3A</v>
      </c>
      <c r="L601" t="str">
        <f>""</f>
        <v/>
      </c>
      <c r="M601" t="str">
        <f>"06-400"</f>
        <v>06-400</v>
      </c>
      <c r="N601" t="str">
        <f>"696467329"</f>
        <v>696467329</v>
      </c>
      <c r="O601" t="s">
        <v>2074</v>
      </c>
      <c r="P601" t="s">
        <v>24</v>
      </c>
    </row>
    <row r="602" spans="1:16" hidden="1" x14ac:dyDescent="0.25">
      <c r="A602">
        <v>132195</v>
      </c>
      <c r="B602" t="str">
        <f>"365500197"</f>
        <v>365500197</v>
      </c>
      <c r="C602" t="s">
        <v>25</v>
      </c>
      <c r="D602" t="s">
        <v>2075</v>
      </c>
      <c r="E602" t="s">
        <v>27</v>
      </c>
      <c r="F602" t="s">
        <v>123</v>
      </c>
      <c r="G602" t="s">
        <v>281</v>
      </c>
      <c r="H602" t="s">
        <v>281</v>
      </c>
      <c r="I602" t="s">
        <v>42</v>
      </c>
      <c r="J602" t="s">
        <v>2076</v>
      </c>
      <c r="K602" t="str">
        <f>"7"</f>
        <v>7</v>
      </c>
      <c r="L602" t="str">
        <f>""</f>
        <v/>
      </c>
      <c r="M602" t="str">
        <f>"31-462"</f>
        <v>31-462</v>
      </c>
      <c r="N602" t="str">
        <f>"123461130"</f>
        <v>123461130</v>
      </c>
      <c r="O602" t="s">
        <v>2077</v>
      </c>
      <c r="P602" t="s">
        <v>24</v>
      </c>
    </row>
    <row r="603" spans="1:16" hidden="1" x14ac:dyDescent="0.25">
      <c r="A603">
        <v>124704</v>
      </c>
      <c r="B603" t="str">
        <f>"260792689"</f>
        <v>260792689</v>
      </c>
      <c r="C603" t="s">
        <v>16</v>
      </c>
      <c r="D603" t="s">
        <v>2078</v>
      </c>
      <c r="E603" t="s">
        <v>74</v>
      </c>
      <c r="F603" t="s">
        <v>433</v>
      </c>
      <c r="G603" t="s">
        <v>433</v>
      </c>
      <c r="H603" t="s">
        <v>433</v>
      </c>
      <c r="I603" t="s">
        <v>30</v>
      </c>
      <c r="J603" t="s">
        <v>2079</v>
      </c>
      <c r="K603" t="str">
        <f>"13e"</f>
        <v>13e</v>
      </c>
      <c r="L603" t="str">
        <f>"16"</f>
        <v>16</v>
      </c>
      <c r="M603" t="str">
        <f>"25-636"</f>
        <v>25-636</v>
      </c>
      <c r="N603" t="str">
        <f>"509905015"</f>
        <v>509905015</v>
      </c>
      <c r="O603" t="s">
        <v>2080</v>
      </c>
      <c r="P603" t="s">
        <v>24</v>
      </c>
    </row>
    <row r="604" spans="1:16" hidden="1" x14ac:dyDescent="0.25">
      <c r="A604">
        <v>279504</v>
      </c>
      <c r="B604" t="str">
        <f>"521660753"</f>
        <v>521660753</v>
      </c>
      <c r="C604" t="s">
        <v>25</v>
      </c>
      <c r="D604" t="s">
        <v>2081</v>
      </c>
      <c r="E604" t="s">
        <v>27</v>
      </c>
      <c r="F604" t="s">
        <v>123</v>
      </c>
      <c r="G604" t="s">
        <v>124</v>
      </c>
      <c r="H604" t="s">
        <v>124</v>
      </c>
      <c r="I604" t="s">
        <v>42</v>
      </c>
      <c r="J604" t="s">
        <v>2082</v>
      </c>
      <c r="K604" t="str">
        <f>"7"</f>
        <v>7</v>
      </c>
      <c r="L604" t="str">
        <f>"U105, U106"</f>
        <v>U105, U106</v>
      </c>
      <c r="M604" t="str">
        <f>"30-709"</f>
        <v>30-709</v>
      </c>
      <c r="N604" t="str">
        <f>"327939025"</f>
        <v>327939025</v>
      </c>
      <c r="O604" t="s">
        <v>2083</v>
      </c>
      <c r="P604" t="s">
        <v>24</v>
      </c>
    </row>
    <row r="605" spans="1:16" hidden="1" x14ac:dyDescent="0.25">
      <c r="A605">
        <v>21837</v>
      </c>
      <c r="B605" t="str">
        <f>"243056386"</f>
        <v>243056386</v>
      </c>
      <c r="C605" t="s">
        <v>25</v>
      </c>
      <c r="D605" t="s">
        <v>2081</v>
      </c>
      <c r="E605" t="s">
        <v>117</v>
      </c>
      <c r="F605" t="s">
        <v>382</v>
      </c>
      <c r="G605" t="s">
        <v>382</v>
      </c>
      <c r="H605" t="s">
        <v>382</v>
      </c>
      <c r="I605" t="s">
        <v>30</v>
      </c>
      <c r="J605" t="s">
        <v>2084</v>
      </c>
      <c r="K605" t="str">
        <f>"2"</f>
        <v>2</v>
      </c>
      <c r="L605" t="str">
        <f>""</f>
        <v/>
      </c>
      <c r="M605" t="str">
        <f>"40-668"</f>
        <v>40-668</v>
      </c>
      <c r="N605" t="str">
        <f>"+48664300069"</f>
        <v>+48664300069</v>
      </c>
      <c r="O605" t="s">
        <v>2083</v>
      </c>
      <c r="P605" t="s">
        <v>24</v>
      </c>
    </row>
    <row r="606" spans="1:16" hidden="1" x14ac:dyDescent="0.25">
      <c r="A606">
        <v>123745</v>
      </c>
      <c r="B606" t="str">
        <f>"243628612"</f>
        <v>243628612</v>
      </c>
      <c r="C606" t="s">
        <v>16</v>
      </c>
      <c r="D606" t="s">
        <v>2081</v>
      </c>
      <c r="E606" t="s">
        <v>117</v>
      </c>
      <c r="F606" t="s">
        <v>967</v>
      </c>
      <c r="G606" t="s">
        <v>967</v>
      </c>
      <c r="H606" t="s">
        <v>967</v>
      </c>
      <c r="I606" t="s">
        <v>30</v>
      </c>
      <c r="J606" t="s">
        <v>2085</v>
      </c>
      <c r="K606" t="str">
        <f>"1"</f>
        <v>1</v>
      </c>
      <c r="L606" t="str">
        <f>""</f>
        <v/>
      </c>
      <c r="M606" t="str">
        <f>"41-300"</f>
        <v>41-300</v>
      </c>
      <c r="N606" t="str">
        <f>"660069497"</f>
        <v>660069497</v>
      </c>
      <c r="O606" t="s">
        <v>2086</v>
      </c>
      <c r="P606" t="s">
        <v>24</v>
      </c>
    </row>
    <row r="607" spans="1:16" hidden="1" x14ac:dyDescent="0.25">
      <c r="A607">
        <v>263632</v>
      </c>
      <c r="B607" t="str">
        <f>"368209858"</f>
        <v>368209858</v>
      </c>
      <c r="C607" t="s">
        <v>16</v>
      </c>
      <c r="D607" t="s">
        <v>2087</v>
      </c>
      <c r="E607" t="s">
        <v>64</v>
      </c>
      <c r="F607" t="s">
        <v>841</v>
      </c>
      <c r="G607" t="s">
        <v>1582</v>
      </c>
      <c r="H607" t="s">
        <v>1582</v>
      </c>
      <c r="I607" t="s">
        <v>30</v>
      </c>
      <c r="J607" t="s">
        <v>2088</v>
      </c>
      <c r="K607" t="str">
        <f>"12"</f>
        <v>12</v>
      </c>
      <c r="L607" t="str">
        <f>""</f>
        <v/>
      </c>
      <c r="M607" t="str">
        <f>"58-100"</f>
        <v>58-100</v>
      </c>
      <c r="N607" t="str">
        <f>"502291618"</f>
        <v>502291618</v>
      </c>
      <c r="O607" t="s">
        <v>2018</v>
      </c>
      <c r="P607" t="s">
        <v>24</v>
      </c>
    </row>
    <row r="608" spans="1:16" hidden="1" x14ac:dyDescent="0.25">
      <c r="A608">
        <v>128579</v>
      </c>
      <c r="B608" t="str">
        <f>"362327338"</f>
        <v>362327338</v>
      </c>
      <c r="C608" t="s">
        <v>16</v>
      </c>
      <c r="D608" t="s">
        <v>2089</v>
      </c>
      <c r="E608" t="s">
        <v>27</v>
      </c>
      <c r="F608" t="s">
        <v>123</v>
      </c>
      <c r="G608" t="s">
        <v>124</v>
      </c>
      <c r="H608" t="s">
        <v>124</v>
      </c>
      <c r="I608" t="s">
        <v>42</v>
      </c>
      <c r="J608" t="s">
        <v>2090</v>
      </c>
      <c r="K608" t="str">
        <f>"19"</f>
        <v>19</v>
      </c>
      <c r="L608" t="str">
        <f>""</f>
        <v/>
      </c>
      <c r="M608" t="str">
        <f>"30-658"</f>
        <v>30-658</v>
      </c>
      <c r="N608" t="str">
        <f>"510798303"</f>
        <v>510798303</v>
      </c>
      <c r="O608" t="s">
        <v>2091</v>
      </c>
      <c r="P608" t="s">
        <v>24</v>
      </c>
    </row>
    <row r="609" spans="1:16" hidden="1" x14ac:dyDescent="0.25">
      <c r="A609">
        <v>103358</v>
      </c>
      <c r="B609" t="str">
        <f>"341363690"</f>
        <v>341363690</v>
      </c>
      <c r="C609" t="s">
        <v>16</v>
      </c>
      <c r="D609" t="s">
        <v>2092</v>
      </c>
      <c r="E609" t="s">
        <v>181</v>
      </c>
      <c r="F609" t="s">
        <v>305</v>
      </c>
      <c r="G609" t="s">
        <v>305</v>
      </c>
      <c r="H609" t="s">
        <v>305</v>
      </c>
      <c r="I609" t="s">
        <v>30</v>
      </c>
      <c r="J609" t="s">
        <v>2093</v>
      </c>
      <c r="K609" t="str">
        <f>"16"</f>
        <v>16</v>
      </c>
      <c r="L609" t="str">
        <f>""</f>
        <v/>
      </c>
      <c r="M609" t="str">
        <f>"87-100"</f>
        <v>87-100</v>
      </c>
      <c r="N609" t="str">
        <f>"607036648"</f>
        <v>607036648</v>
      </c>
      <c r="P609" t="s">
        <v>24</v>
      </c>
    </row>
    <row r="610" spans="1:16" hidden="1" x14ac:dyDescent="0.25">
      <c r="A610">
        <v>481016</v>
      </c>
      <c r="B610" t="str">
        <f>"526471880"</f>
        <v>526471880</v>
      </c>
      <c r="C610" t="s">
        <v>16</v>
      </c>
      <c r="D610" t="s">
        <v>2094</v>
      </c>
      <c r="E610" t="s">
        <v>416</v>
      </c>
      <c r="F610" t="s">
        <v>2095</v>
      </c>
      <c r="G610" t="s">
        <v>2096</v>
      </c>
      <c r="H610" t="s">
        <v>2096</v>
      </c>
      <c r="I610" t="s">
        <v>30</v>
      </c>
      <c r="J610" t="s">
        <v>2097</v>
      </c>
      <c r="K610" t="str">
        <f>"1A"</f>
        <v>1A</v>
      </c>
      <c r="L610" t="str">
        <f>"2U"</f>
        <v>2U</v>
      </c>
      <c r="M610" t="str">
        <f>"48-300"</f>
        <v>48-300</v>
      </c>
      <c r="N610" t="str">
        <f>"515464127"</f>
        <v>515464127</v>
      </c>
      <c r="O610" t="s">
        <v>2098</v>
      </c>
      <c r="P610" t="s">
        <v>24</v>
      </c>
    </row>
    <row r="611" spans="1:16" hidden="1" x14ac:dyDescent="0.25">
      <c r="A611">
        <v>133799</v>
      </c>
      <c r="B611" t="str">
        <f>"367655640"</f>
        <v>367655640</v>
      </c>
      <c r="C611" t="s">
        <v>16</v>
      </c>
      <c r="D611" t="s">
        <v>2099</v>
      </c>
      <c r="E611" t="s">
        <v>117</v>
      </c>
      <c r="F611" t="s">
        <v>213</v>
      </c>
      <c r="G611" t="s">
        <v>213</v>
      </c>
      <c r="H611" t="s">
        <v>213</v>
      </c>
      <c r="I611" t="s">
        <v>30</v>
      </c>
      <c r="J611" t="s">
        <v>367</v>
      </c>
      <c r="K611" t="str">
        <f>"34"</f>
        <v>34</v>
      </c>
      <c r="L611" t="str">
        <f>""</f>
        <v/>
      </c>
      <c r="M611" t="str">
        <f>"44-113"</f>
        <v>44-113</v>
      </c>
      <c r="N611" t="str">
        <f>"668103446"</f>
        <v>668103446</v>
      </c>
      <c r="O611" t="s">
        <v>2100</v>
      </c>
      <c r="P611" t="s">
        <v>24</v>
      </c>
    </row>
    <row r="612" spans="1:16" hidden="1" x14ac:dyDescent="0.25">
      <c r="A612">
        <v>275028</v>
      </c>
      <c r="B612" t="str">
        <f>"386511514"</f>
        <v>386511514</v>
      </c>
      <c r="C612" t="s">
        <v>16</v>
      </c>
      <c r="D612" t="s">
        <v>2101</v>
      </c>
      <c r="E612" t="s">
        <v>74</v>
      </c>
      <c r="F612" t="s">
        <v>1433</v>
      </c>
      <c r="G612" t="s">
        <v>1888</v>
      </c>
      <c r="H612" t="s">
        <v>1888</v>
      </c>
      <c r="I612" t="s">
        <v>30</v>
      </c>
      <c r="J612" t="s">
        <v>2102</v>
      </c>
      <c r="K612" t="str">
        <f>"19"</f>
        <v>19</v>
      </c>
      <c r="L612" t="str">
        <f>""</f>
        <v/>
      </c>
      <c r="M612" t="str">
        <f>"27-600"</f>
        <v>27-600</v>
      </c>
      <c r="N612" t="str">
        <f>"509830805"</f>
        <v>509830805</v>
      </c>
      <c r="O612" t="s">
        <v>2103</v>
      </c>
      <c r="P612" t="s">
        <v>24</v>
      </c>
    </row>
    <row r="613" spans="1:16" hidden="1" x14ac:dyDescent="0.25">
      <c r="A613">
        <v>132090</v>
      </c>
      <c r="B613" t="str">
        <f>"365457219"</f>
        <v>365457219</v>
      </c>
      <c r="C613" t="s">
        <v>16</v>
      </c>
      <c r="D613" t="s">
        <v>2104</v>
      </c>
      <c r="E613" t="s">
        <v>27</v>
      </c>
      <c r="F613" t="s">
        <v>196</v>
      </c>
      <c r="G613" t="s">
        <v>196</v>
      </c>
      <c r="H613" t="s">
        <v>196</v>
      </c>
      <c r="I613" t="s">
        <v>30</v>
      </c>
      <c r="J613" t="s">
        <v>2105</v>
      </c>
      <c r="K613" t="str">
        <f>"305"</f>
        <v>305</v>
      </c>
      <c r="L613" t="str">
        <f>""</f>
        <v/>
      </c>
      <c r="M613" t="str">
        <f>"33-300"</f>
        <v>33-300</v>
      </c>
      <c r="N613" t="str">
        <f>"882772912"</f>
        <v>882772912</v>
      </c>
      <c r="O613" t="s">
        <v>2106</v>
      </c>
      <c r="P613" t="s">
        <v>24</v>
      </c>
    </row>
    <row r="614" spans="1:16" hidden="1" x14ac:dyDescent="0.25">
      <c r="A614">
        <v>125119</v>
      </c>
      <c r="B614" t="str">
        <f>"243672524"</f>
        <v>243672524</v>
      </c>
      <c r="C614" t="s">
        <v>16</v>
      </c>
      <c r="D614" t="s">
        <v>2107</v>
      </c>
      <c r="E614" t="s">
        <v>117</v>
      </c>
      <c r="F614" t="s">
        <v>118</v>
      </c>
      <c r="G614" t="s">
        <v>118</v>
      </c>
      <c r="H614" t="s">
        <v>118</v>
      </c>
      <c r="I614" t="s">
        <v>30</v>
      </c>
      <c r="J614" t="s">
        <v>2108</v>
      </c>
      <c r="K614" t="str">
        <f>"20/22"</f>
        <v>20/22</v>
      </c>
      <c r="L614" t="str">
        <f>""</f>
        <v/>
      </c>
      <c r="M614" t="str">
        <f>"42-216"</f>
        <v>42-216</v>
      </c>
      <c r="N614" t="str">
        <f>"343631888"</f>
        <v>343631888</v>
      </c>
      <c r="O614" t="s">
        <v>2109</v>
      </c>
      <c r="P614" t="s">
        <v>24</v>
      </c>
    </row>
    <row r="615" spans="1:16" hidden="1" x14ac:dyDescent="0.25">
      <c r="A615">
        <v>114755</v>
      </c>
      <c r="B615" t="str">
        <f>"243270228"</f>
        <v>243270228</v>
      </c>
      <c r="C615" t="s">
        <v>25</v>
      </c>
      <c r="D615" t="s">
        <v>2110</v>
      </c>
      <c r="E615" t="s">
        <v>117</v>
      </c>
      <c r="F615" t="s">
        <v>382</v>
      </c>
      <c r="G615" t="s">
        <v>382</v>
      </c>
      <c r="H615" t="s">
        <v>382</v>
      </c>
      <c r="I615" t="s">
        <v>30</v>
      </c>
      <c r="J615" t="s">
        <v>2111</v>
      </c>
      <c r="K615" t="str">
        <f>"56"</f>
        <v>56</v>
      </c>
      <c r="L615" t="str">
        <f>""</f>
        <v/>
      </c>
      <c r="M615" t="str">
        <f>"40-583"</f>
        <v>40-583</v>
      </c>
      <c r="N615" t="str">
        <f>"882169064"</f>
        <v>882169064</v>
      </c>
      <c r="O615" t="s">
        <v>2112</v>
      </c>
      <c r="P615" t="s">
        <v>24</v>
      </c>
    </row>
    <row r="616" spans="1:16" hidden="1" x14ac:dyDescent="0.25">
      <c r="A616">
        <v>90809</v>
      </c>
      <c r="B616" t="str">
        <f>"061497770"</f>
        <v>061497770</v>
      </c>
      <c r="C616" t="s">
        <v>25</v>
      </c>
      <c r="D616" t="s">
        <v>2113</v>
      </c>
      <c r="E616" t="s">
        <v>112</v>
      </c>
      <c r="F616" t="s">
        <v>113</v>
      </c>
      <c r="G616" t="s">
        <v>113</v>
      </c>
      <c r="H616" t="s">
        <v>113</v>
      </c>
      <c r="I616" t="s">
        <v>30</v>
      </c>
      <c r="J616" t="s">
        <v>2114</v>
      </c>
      <c r="K616" t="str">
        <f>"4A"</f>
        <v>4A</v>
      </c>
      <c r="L616" t="str">
        <f>"U2"</f>
        <v>U2</v>
      </c>
      <c r="M616" t="str">
        <f>"20-328"</f>
        <v>20-328</v>
      </c>
      <c r="N616" t="str">
        <f>"817403413"</f>
        <v>817403413</v>
      </c>
      <c r="O616" t="s">
        <v>2115</v>
      </c>
      <c r="P616" t="s">
        <v>24</v>
      </c>
    </row>
    <row r="617" spans="1:16" hidden="1" x14ac:dyDescent="0.25">
      <c r="A617">
        <v>120337</v>
      </c>
      <c r="B617" t="str">
        <f>"281534979"</f>
        <v>281534979</v>
      </c>
      <c r="C617" t="s">
        <v>25</v>
      </c>
      <c r="D617" t="s">
        <v>2116</v>
      </c>
      <c r="E617" t="s">
        <v>389</v>
      </c>
      <c r="F617" t="s">
        <v>447</v>
      </c>
      <c r="G617" t="s">
        <v>447</v>
      </c>
      <c r="H617" t="s">
        <v>447</v>
      </c>
      <c r="I617" t="s">
        <v>30</v>
      </c>
      <c r="J617" t="s">
        <v>2117</v>
      </c>
      <c r="K617" t="str">
        <f>"1"</f>
        <v>1</v>
      </c>
      <c r="L617" t="str">
        <f>""</f>
        <v/>
      </c>
      <c r="M617" t="str">
        <f>"10-147"</f>
        <v>10-147</v>
      </c>
      <c r="N617" t="str">
        <f>"502612510"</f>
        <v>502612510</v>
      </c>
      <c r="O617" t="s">
        <v>2118</v>
      </c>
      <c r="P617" t="s">
        <v>24</v>
      </c>
    </row>
    <row r="618" spans="1:16" hidden="1" x14ac:dyDescent="0.25">
      <c r="A618">
        <v>115656</v>
      </c>
      <c r="B618" t="str">
        <f>"022186855"</f>
        <v>022186855</v>
      </c>
      <c r="C618" t="s">
        <v>25</v>
      </c>
      <c r="D618" t="s">
        <v>2119</v>
      </c>
      <c r="E618" t="s">
        <v>64</v>
      </c>
      <c r="F618" t="s">
        <v>1470</v>
      </c>
      <c r="G618" t="s">
        <v>1471</v>
      </c>
      <c r="H618" t="s">
        <v>1471</v>
      </c>
      <c r="I618" t="s">
        <v>30</v>
      </c>
      <c r="J618" t="s">
        <v>2120</v>
      </c>
      <c r="K618" t="str">
        <f>"5"</f>
        <v>5</v>
      </c>
      <c r="L618" t="str">
        <f>"1"</f>
        <v>1</v>
      </c>
      <c r="M618" t="str">
        <f>"59-900"</f>
        <v>59-900</v>
      </c>
      <c r="N618" t="str">
        <f>"757752553"</f>
        <v>757752553</v>
      </c>
      <c r="O618" t="s">
        <v>2121</v>
      </c>
      <c r="P618" t="s">
        <v>24</v>
      </c>
    </row>
    <row r="619" spans="1:16" hidden="1" x14ac:dyDescent="0.25">
      <c r="A619">
        <v>19974</v>
      </c>
      <c r="B619" t="str">
        <f>"021976905"</f>
        <v>021976905</v>
      </c>
      <c r="C619" t="s">
        <v>25</v>
      </c>
      <c r="D619" t="s">
        <v>2122</v>
      </c>
      <c r="E619" t="s">
        <v>64</v>
      </c>
      <c r="F619" t="s">
        <v>2123</v>
      </c>
      <c r="G619" t="s">
        <v>2124</v>
      </c>
      <c r="H619" t="s">
        <v>2124</v>
      </c>
      <c r="I619" t="s">
        <v>30</v>
      </c>
      <c r="J619" t="s">
        <v>2125</v>
      </c>
      <c r="K619" t="str">
        <f>"10"</f>
        <v>10</v>
      </c>
      <c r="L619" t="str">
        <f>""</f>
        <v/>
      </c>
      <c r="M619" t="str">
        <f>"59-700"</f>
        <v>59-700</v>
      </c>
      <c r="N619" t="str">
        <f>"757327960"</f>
        <v>757327960</v>
      </c>
      <c r="O619" t="s">
        <v>2126</v>
      </c>
      <c r="P619" t="s">
        <v>24</v>
      </c>
    </row>
    <row r="620" spans="1:16" hidden="1" x14ac:dyDescent="0.25">
      <c r="A620">
        <v>55471</v>
      </c>
      <c r="B620" t="str">
        <f>"146365783"</f>
        <v>146365783</v>
      </c>
      <c r="C620" t="s">
        <v>16</v>
      </c>
      <c r="D620" t="s">
        <v>2127</v>
      </c>
      <c r="E620" t="s">
        <v>18</v>
      </c>
      <c r="F620" t="s">
        <v>2128</v>
      </c>
      <c r="G620" t="s">
        <v>2129</v>
      </c>
      <c r="H620" t="s">
        <v>2129</v>
      </c>
      <c r="I620" t="s">
        <v>30</v>
      </c>
      <c r="J620" t="s">
        <v>2130</v>
      </c>
      <c r="K620" t="str">
        <f>"2/8"</f>
        <v>2/8</v>
      </c>
      <c r="L620" t="str">
        <f>"8"</f>
        <v>8</v>
      </c>
      <c r="M620" t="str">
        <f>"05-600"</f>
        <v>05-600</v>
      </c>
      <c r="N620" t="str">
        <f>"486647449"</f>
        <v>486647449</v>
      </c>
      <c r="O620" t="s">
        <v>2131</v>
      </c>
      <c r="P620" t="s">
        <v>24</v>
      </c>
    </row>
    <row r="621" spans="1:16" hidden="1" x14ac:dyDescent="0.25">
      <c r="A621">
        <v>129065</v>
      </c>
      <c r="B621" t="str">
        <f>"362468412"</f>
        <v>362468412</v>
      </c>
      <c r="C621" t="s">
        <v>16</v>
      </c>
      <c r="D621" t="s">
        <v>2132</v>
      </c>
      <c r="E621" t="s">
        <v>18</v>
      </c>
      <c r="F621" t="s">
        <v>85</v>
      </c>
      <c r="G621" t="s">
        <v>85</v>
      </c>
      <c r="H621" t="s">
        <v>85</v>
      </c>
      <c r="I621" t="s">
        <v>30</v>
      </c>
      <c r="J621" t="s">
        <v>1233</v>
      </c>
      <c r="K621" t="str">
        <f>"7"</f>
        <v>7</v>
      </c>
      <c r="L621" t="str">
        <f>""</f>
        <v/>
      </c>
      <c r="M621" t="str">
        <f>"07-410"</f>
        <v>07-410</v>
      </c>
      <c r="N621" t="str">
        <f>"502538464"</f>
        <v>502538464</v>
      </c>
      <c r="O621" t="s">
        <v>2133</v>
      </c>
      <c r="P621" t="s">
        <v>24</v>
      </c>
    </row>
    <row r="622" spans="1:16" hidden="1" x14ac:dyDescent="0.25">
      <c r="A622">
        <v>131355</v>
      </c>
      <c r="B622" t="str">
        <f>"365138626"</f>
        <v>365138626</v>
      </c>
      <c r="C622" t="s">
        <v>16</v>
      </c>
      <c r="D622" t="s">
        <v>2134</v>
      </c>
      <c r="E622" t="s">
        <v>80</v>
      </c>
      <c r="F622" t="s">
        <v>81</v>
      </c>
      <c r="G622" t="s">
        <v>81</v>
      </c>
      <c r="H622" t="s">
        <v>81</v>
      </c>
      <c r="I622" t="s">
        <v>30</v>
      </c>
      <c r="J622" t="s">
        <v>1525</v>
      </c>
      <c r="K622" t="str">
        <f>"11A"</f>
        <v>11A</v>
      </c>
      <c r="L622" t="str">
        <f>""</f>
        <v/>
      </c>
      <c r="M622" t="str">
        <f>"76-200"</f>
        <v>76-200</v>
      </c>
      <c r="N622" t="str">
        <f>"598423144"</f>
        <v>598423144</v>
      </c>
      <c r="O622" t="s">
        <v>2135</v>
      </c>
      <c r="P622" t="s">
        <v>24</v>
      </c>
    </row>
    <row r="623" spans="1:16" hidden="1" x14ac:dyDescent="0.25">
      <c r="A623">
        <v>5807</v>
      </c>
      <c r="B623" t="str">
        <f>"302199284"</f>
        <v>302199284</v>
      </c>
      <c r="C623" t="s">
        <v>16</v>
      </c>
      <c r="D623" t="s">
        <v>2136</v>
      </c>
      <c r="E623" t="s">
        <v>157</v>
      </c>
      <c r="F623" t="s">
        <v>2137</v>
      </c>
      <c r="G623" t="s">
        <v>2138</v>
      </c>
      <c r="H623" t="s">
        <v>2138</v>
      </c>
      <c r="I623" t="s">
        <v>30</v>
      </c>
      <c r="J623" t="s">
        <v>2139</v>
      </c>
      <c r="K623" t="str">
        <f>"15"</f>
        <v>15</v>
      </c>
      <c r="L623" t="str">
        <f>""</f>
        <v/>
      </c>
      <c r="M623" t="str">
        <f>"64-500"</f>
        <v>64-500</v>
      </c>
      <c r="N623" t="str">
        <f>"508252406"</f>
        <v>508252406</v>
      </c>
      <c r="O623" t="s">
        <v>2140</v>
      </c>
      <c r="P623" t="s">
        <v>24</v>
      </c>
    </row>
    <row r="624" spans="1:16" hidden="1" x14ac:dyDescent="0.25">
      <c r="A624">
        <v>119525</v>
      </c>
      <c r="B624" t="str">
        <f>"122936595"</f>
        <v>122936595</v>
      </c>
      <c r="C624" t="s">
        <v>16</v>
      </c>
      <c r="D624" t="s">
        <v>2141</v>
      </c>
      <c r="E624" t="s">
        <v>27</v>
      </c>
      <c r="F624" t="s">
        <v>1235</v>
      </c>
      <c r="G624" t="s">
        <v>2142</v>
      </c>
      <c r="H624" t="s">
        <v>2142</v>
      </c>
      <c r="I624" t="s">
        <v>30</v>
      </c>
      <c r="J624" t="s">
        <v>2143</v>
      </c>
      <c r="K624" t="str">
        <f>"42"</f>
        <v>42</v>
      </c>
      <c r="L624" t="str">
        <f>""</f>
        <v/>
      </c>
      <c r="M624" t="str">
        <f>"34-100"</f>
        <v>34-100</v>
      </c>
      <c r="N624" t="str">
        <f>"338731887"</f>
        <v>338731887</v>
      </c>
      <c r="O624" t="s">
        <v>2144</v>
      </c>
      <c r="P624" t="s">
        <v>24</v>
      </c>
    </row>
    <row r="625" spans="1:16" hidden="1" x14ac:dyDescent="0.25">
      <c r="A625">
        <v>126874</v>
      </c>
      <c r="B625" t="str">
        <f>"360829840"</f>
        <v>360829840</v>
      </c>
      <c r="C625" t="s">
        <v>16</v>
      </c>
      <c r="D625" t="s">
        <v>2145</v>
      </c>
      <c r="E625" t="s">
        <v>112</v>
      </c>
      <c r="F625" t="s">
        <v>2036</v>
      </c>
      <c r="G625" t="s">
        <v>2146</v>
      </c>
      <c r="H625" t="s">
        <v>2146</v>
      </c>
      <c r="I625" t="s">
        <v>30</v>
      </c>
      <c r="J625" t="s">
        <v>2147</v>
      </c>
      <c r="K625" t="str">
        <f>"8"</f>
        <v>8</v>
      </c>
      <c r="L625" t="str">
        <f>""</f>
        <v/>
      </c>
      <c r="M625" t="str">
        <f>"24-320"</f>
        <v>24-320</v>
      </c>
      <c r="N625" t="str">
        <f>"818205011"</f>
        <v>818205011</v>
      </c>
      <c r="O625" t="s">
        <v>2148</v>
      </c>
      <c r="P625" t="s">
        <v>24</v>
      </c>
    </row>
    <row r="626" spans="1:16" hidden="1" x14ac:dyDescent="0.25">
      <c r="A626">
        <v>68673</v>
      </c>
      <c r="B626" t="str">
        <f>"180906755"</f>
        <v>180906755</v>
      </c>
      <c r="C626" t="s">
        <v>25</v>
      </c>
      <c r="D626" t="s">
        <v>2149</v>
      </c>
      <c r="E626" t="s">
        <v>101</v>
      </c>
      <c r="F626" t="s">
        <v>1957</v>
      </c>
      <c r="G626" t="s">
        <v>1958</v>
      </c>
      <c r="H626" t="s">
        <v>1958</v>
      </c>
      <c r="I626" t="s">
        <v>30</v>
      </c>
      <c r="J626" t="s">
        <v>2150</v>
      </c>
      <c r="K626" t="str">
        <f>"278"</f>
        <v>278</v>
      </c>
      <c r="L626" t="str">
        <f>""</f>
        <v/>
      </c>
      <c r="M626" t="str">
        <f>"39-300"</f>
        <v>39-300</v>
      </c>
      <c r="N626" t="str">
        <f>"175863522"</f>
        <v>175863522</v>
      </c>
      <c r="O626" t="s">
        <v>2151</v>
      </c>
      <c r="P626" t="s">
        <v>24</v>
      </c>
    </row>
    <row r="627" spans="1:16" hidden="1" x14ac:dyDescent="0.25">
      <c r="A627">
        <v>275567</v>
      </c>
      <c r="B627" t="str">
        <f>"386925121"</f>
        <v>386925121</v>
      </c>
      <c r="C627" t="s">
        <v>16</v>
      </c>
      <c r="D627" t="s">
        <v>2152</v>
      </c>
      <c r="E627" t="s">
        <v>18</v>
      </c>
      <c r="F627" t="s">
        <v>19</v>
      </c>
      <c r="G627" t="s">
        <v>393</v>
      </c>
      <c r="H627" t="s">
        <v>393</v>
      </c>
      <c r="I627" t="s">
        <v>21</v>
      </c>
      <c r="J627" t="s">
        <v>2153</v>
      </c>
      <c r="K627" t="str">
        <f>"13/15"</f>
        <v>13/15</v>
      </c>
      <c r="L627" t="str">
        <f>""</f>
        <v/>
      </c>
      <c r="M627" t="str">
        <f>"00-150"</f>
        <v>00-150</v>
      </c>
      <c r="N627" t="str">
        <f>"226687460"</f>
        <v>226687460</v>
      </c>
      <c r="O627" t="s">
        <v>2154</v>
      </c>
      <c r="P627" t="s">
        <v>24</v>
      </c>
    </row>
    <row r="628" spans="1:16" hidden="1" x14ac:dyDescent="0.25">
      <c r="A628">
        <v>129317</v>
      </c>
      <c r="B628" t="str">
        <f>"362580698"</f>
        <v>362580698</v>
      </c>
      <c r="C628" t="s">
        <v>16</v>
      </c>
      <c r="D628" t="s">
        <v>2155</v>
      </c>
      <c r="E628" t="s">
        <v>64</v>
      </c>
      <c r="F628" t="s">
        <v>255</v>
      </c>
      <c r="G628" t="s">
        <v>256</v>
      </c>
      <c r="H628" t="s">
        <v>256</v>
      </c>
      <c r="I628" t="s">
        <v>42</v>
      </c>
      <c r="J628" t="s">
        <v>2156</v>
      </c>
      <c r="K628" t="str">
        <f>"21-23"</f>
        <v>21-23</v>
      </c>
      <c r="L628" t="str">
        <f>""</f>
        <v/>
      </c>
      <c r="M628" t="str">
        <f>"50-403"</f>
        <v>50-403</v>
      </c>
      <c r="N628" t="str">
        <f>"717747770"</f>
        <v>717747770</v>
      </c>
      <c r="O628" t="s">
        <v>2157</v>
      </c>
      <c r="P628" t="s">
        <v>24</v>
      </c>
    </row>
    <row r="629" spans="1:16" hidden="1" x14ac:dyDescent="0.25">
      <c r="A629">
        <v>132279</v>
      </c>
      <c r="B629" t="str">
        <f>"365526110"</f>
        <v>365526110</v>
      </c>
      <c r="C629" t="s">
        <v>16</v>
      </c>
      <c r="D629" t="s">
        <v>2155</v>
      </c>
      <c r="E629" t="s">
        <v>64</v>
      </c>
      <c r="F629" t="s">
        <v>988</v>
      </c>
      <c r="G629" t="s">
        <v>988</v>
      </c>
      <c r="H629" t="s">
        <v>988</v>
      </c>
      <c r="I629" t="s">
        <v>30</v>
      </c>
      <c r="J629" t="s">
        <v>1093</v>
      </c>
      <c r="K629" t="str">
        <f>"10"</f>
        <v>10</v>
      </c>
      <c r="L629" t="str">
        <f>""</f>
        <v/>
      </c>
      <c r="M629" t="str">
        <f>"58-300"</f>
        <v>58-300</v>
      </c>
      <c r="N629" t="str">
        <f>"748877183"</f>
        <v>748877183</v>
      </c>
      <c r="O629" t="s">
        <v>2158</v>
      </c>
      <c r="P629" t="s">
        <v>24</v>
      </c>
    </row>
    <row r="630" spans="1:16" hidden="1" x14ac:dyDescent="0.25">
      <c r="A630">
        <v>15864</v>
      </c>
      <c r="B630" t="str">
        <f>"180888968"</f>
        <v>180888968</v>
      </c>
      <c r="C630" t="s">
        <v>25</v>
      </c>
      <c r="D630" t="s">
        <v>2159</v>
      </c>
      <c r="E630" t="s">
        <v>101</v>
      </c>
      <c r="F630" t="s">
        <v>2160</v>
      </c>
      <c r="G630" t="s">
        <v>2161</v>
      </c>
      <c r="H630" t="s">
        <v>2161</v>
      </c>
      <c r="I630" t="s">
        <v>30</v>
      </c>
      <c r="J630" t="s">
        <v>2162</v>
      </c>
      <c r="K630" t="str">
        <f>"39a"</f>
        <v>39a</v>
      </c>
      <c r="L630" t="str">
        <f>""</f>
        <v/>
      </c>
      <c r="M630" t="str">
        <f>"37-500"</f>
        <v>37-500</v>
      </c>
      <c r="N630" t="str">
        <f>"166210397"</f>
        <v>166210397</v>
      </c>
      <c r="O630" t="s">
        <v>2163</v>
      </c>
      <c r="P630" t="s">
        <v>24</v>
      </c>
    </row>
    <row r="631" spans="1:16" hidden="1" x14ac:dyDescent="0.25">
      <c r="A631">
        <v>91491</v>
      </c>
      <c r="B631" t="str">
        <f>"180916570"</f>
        <v>180916570</v>
      </c>
      <c r="C631" t="s">
        <v>16</v>
      </c>
      <c r="D631" t="s">
        <v>2164</v>
      </c>
      <c r="E631" t="s">
        <v>101</v>
      </c>
      <c r="F631" t="s">
        <v>102</v>
      </c>
      <c r="G631" t="s">
        <v>102</v>
      </c>
      <c r="H631" t="s">
        <v>102</v>
      </c>
      <c r="I631" t="s">
        <v>30</v>
      </c>
      <c r="J631" t="s">
        <v>2165</v>
      </c>
      <c r="K631" t="str">
        <f>"7"</f>
        <v>7</v>
      </c>
      <c r="L631" t="str">
        <f>""</f>
        <v/>
      </c>
      <c r="M631" t="str">
        <f>"35-079"</f>
        <v>35-079</v>
      </c>
      <c r="N631" t="str">
        <f>"0178520510"</f>
        <v>0178520510</v>
      </c>
      <c r="O631" t="s">
        <v>2166</v>
      </c>
      <c r="P631" t="s">
        <v>24</v>
      </c>
    </row>
    <row r="632" spans="1:16" hidden="1" x14ac:dyDescent="0.25">
      <c r="A632">
        <v>128778</v>
      </c>
      <c r="B632" t="str">
        <f>"362391023"</f>
        <v>362391023</v>
      </c>
      <c r="C632" t="s">
        <v>25</v>
      </c>
      <c r="D632" t="s">
        <v>2167</v>
      </c>
      <c r="E632" t="s">
        <v>117</v>
      </c>
      <c r="F632" t="s">
        <v>382</v>
      </c>
      <c r="G632" t="s">
        <v>382</v>
      </c>
      <c r="H632" t="s">
        <v>382</v>
      </c>
      <c r="I632" t="s">
        <v>30</v>
      </c>
      <c r="J632" t="s">
        <v>1093</v>
      </c>
      <c r="K632" t="str">
        <f>"63"</f>
        <v>63</v>
      </c>
      <c r="L632" t="str">
        <f>""</f>
        <v/>
      </c>
      <c r="M632" t="str">
        <f>"40-282"</f>
        <v>40-282</v>
      </c>
      <c r="N632" t="str">
        <f>"535087450"</f>
        <v>535087450</v>
      </c>
      <c r="O632" t="s">
        <v>2168</v>
      </c>
      <c r="P632" t="s">
        <v>24</v>
      </c>
    </row>
    <row r="633" spans="1:16" hidden="1" x14ac:dyDescent="0.25">
      <c r="A633">
        <v>479134</v>
      </c>
      <c r="B633" t="str">
        <f>"523202500"</f>
        <v>523202500</v>
      </c>
      <c r="C633" t="s">
        <v>16</v>
      </c>
      <c r="D633" t="s">
        <v>2169</v>
      </c>
      <c r="E633" t="s">
        <v>117</v>
      </c>
      <c r="F633" t="s">
        <v>1775</v>
      </c>
      <c r="G633" t="s">
        <v>1775</v>
      </c>
      <c r="H633" t="s">
        <v>1775</v>
      </c>
      <c r="I633" t="s">
        <v>30</v>
      </c>
      <c r="J633" t="s">
        <v>2170</v>
      </c>
      <c r="K633" t="str">
        <f>"15"</f>
        <v>15</v>
      </c>
      <c r="L633" t="str">
        <f>""</f>
        <v/>
      </c>
      <c r="M633" t="str">
        <f>"44-240"</f>
        <v>44-240</v>
      </c>
      <c r="N633" t="str">
        <f>"502292217"</f>
        <v>502292217</v>
      </c>
      <c r="O633" t="s">
        <v>2171</v>
      </c>
      <c r="P633" t="s">
        <v>24</v>
      </c>
    </row>
    <row r="634" spans="1:16" hidden="1" x14ac:dyDescent="0.25">
      <c r="A634">
        <v>128970</v>
      </c>
      <c r="B634" t="str">
        <f>"362438397"</f>
        <v>362438397</v>
      </c>
      <c r="C634" t="s">
        <v>16</v>
      </c>
      <c r="D634" t="s">
        <v>2172</v>
      </c>
      <c r="E634" t="s">
        <v>181</v>
      </c>
      <c r="F634" t="s">
        <v>2173</v>
      </c>
      <c r="G634" t="s">
        <v>2174</v>
      </c>
      <c r="H634" t="s">
        <v>2174</v>
      </c>
      <c r="I634" t="s">
        <v>30</v>
      </c>
      <c r="J634" t="s">
        <v>2175</v>
      </c>
      <c r="K634" t="str">
        <f>"12"</f>
        <v>12</v>
      </c>
      <c r="L634" t="str">
        <f>""</f>
        <v/>
      </c>
      <c r="M634" t="str">
        <f>"87-300"</f>
        <v>87-300</v>
      </c>
      <c r="N634" t="str">
        <f>"566970666"</f>
        <v>566970666</v>
      </c>
      <c r="O634" t="s">
        <v>2176</v>
      </c>
      <c r="P634" t="s">
        <v>24</v>
      </c>
    </row>
    <row r="635" spans="1:16" hidden="1" x14ac:dyDescent="0.25">
      <c r="A635">
        <v>130844</v>
      </c>
      <c r="B635" t="str">
        <f>"364620870"</f>
        <v>364620870</v>
      </c>
      <c r="C635" t="s">
        <v>16</v>
      </c>
      <c r="D635" t="s">
        <v>2177</v>
      </c>
      <c r="E635" t="s">
        <v>18</v>
      </c>
      <c r="F635" t="s">
        <v>1137</v>
      </c>
      <c r="G635" t="s">
        <v>1138</v>
      </c>
      <c r="H635" t="s">
        <v>2178</v>
      </c>
      <c r="I635" t="s">
        <v>68</v>
      </c>
      <c r="J635" t="s">
        <v>2179</v>
      </c>
      <c r="K635" t="str">
        <f>"213"</f>
        <v>213</v>
      </c>
      <c r="L635" t="str">
        <f>""</f>
        <v/>
      </c>
      <c r="M635" t="str">
        <f>"05-850"</f>
        <v>05-850</v>
      </c>
      <c r="N635" t="str">
        <f>"577105055"</f>
        <v>577105055</v>
      </c>
      <c r="O635" t="s">
        <v>2180</v>
      </c>
      <c r="P635" t="s">
        <v>24</v>
      </c>
    </row>
    <row r="636" spans="1:16" hidden="1" x14ac:dyDescent="0.25">
      <c r="A636">
        <v>108960</v>
      </c>
      <c r="B636" t="str">
        <f>"061515521"</f>
        <v>061515521</v>
      </c>
      <c r="C636" t="s">
        <v>16</v>
      </c>
      <c r="D636" t="s">
        <v>2181</v>
      </c>
      <c r="E636" t="s">
        <v>112</v>
      </c>
      <c r="F636" t="s">
        <v>113</v>
      </c>
      <c r="G636" t="s">
        <v>113</v>
      </c>
      <c r="H636" t="s">
        <v>113</v>
      </c>
      <c r="I636" t="s">
        <v>30</v>
      </c>
      <c r="J636" t="s">
        <v>2182</v>
      </c>
      <c r="K636" t="str">
        <f>"6"</f>
        <v>6</v>
      </c>
      <c r="L636" t="str">
        <f>""</f>
        <v/>
      </c>
      <c r="M636" t="str">
        <f>"20-680"</f>
        <v>20-680</v>
      </c>
      <c r="N636" t="str">
        <f>"0504149564"</f>
        <v>0504149564</v>
      </c>
      <c r="P636" t="s">
        <v>24</v>
      </c>
    </row>
    <row r="637" spans="1:16" hidden="1" x14ac:dyDescent="0.25">
      <c r="A637">
        <v>72187</v>
      </c>
      <c r="B637" t="str">
        <f>"122701627"</f>
        <v>122701627</v>
      </c>
      <c r="C637" t="s">
        <v>16</v>
      </c>
      <c r="D637" t="s">
        <v>2183</v>
      </c>
      <c r="E637" t="s">
        <v>27</v>
      </c>
      <c r="F637" t="s">
        <v>123</v>
      </c>
      <c r="G637" t="s">
        <v>281</v>
      </c>
      <c r="H637" t="s">
        <v>281</v>
      </c>
      <c r="I637" t="s">
        <v>42</v>
      </c>
      <c r="J637" t="s">
        <v>2184</v>
      </c>
      <c r="K637" t="str">
        <f>"6"</f>
        <v>6</v>
      </c>
      <c r="L637" t="str">
        <f>""</f>
        <v/>
      </c>
      <c r="M637" t="str">
        <f>"31-117"</f>
        <v>31-117</v>
      </c>
      <c r="N637" t="str">
        <f>"124292979"</f>
        <v>124292979</v>
      </c>
      <c r="O637" t="s">
        <v>2185</v>
      </c>
      <c r="P637" t="s">
        <v>24</v>
      </c>
    </row>
    <row r="638" spans="1:16" hidden="1" x14ac:dyDescent="0.25">
      <c r="A638">
        <v>108978</v>
      </c>
      <c r="B638" t="str">
        <f>"061515768"</f>
        <v>061515768</v>
      </c>
      <c r="C638" t="s">
        <v>25</v>
      </c>
      <c r="D638" t="s">
        <v>2186</v>
      </c>
      <c r="E638" t="s">
        <v>112</v>
      </c>
      <c r="F638" t="s">
        <v>113</v>
      </c>
      <c r="G638" t="s">
        <v>113</v>
      </c>
      <c r="H638" t="s">
        <v>113</v>
      </c>
      <c r="I638" t="s">
        <v>30</v>
      </c>
      <c r="J638" t="s">
        <v>2187</v>
      </c>
      <c r="K638" t="str">
        <f>"8"</f>
        <v>8</v>
      </c>
      <c r="L638" t="str">
        <f>""</f>
        <v/>
      </c>
      <c r="M638" t="str">
        <f>"20-530"</f>
        <v>20-530</v>
      </c>
      <c r="N638" t="str">
        <f>"815339135"</f>
        <v>815339135</v>
      </c>
      <c r="P638" t="s">
        <v>24</v>
      </c>
    </row>
    <row r="639" spans="1:16" hidden="1" x14ac:dyDescent="0.25">
      <c r="A639">
        <v>108961</v>
      </c>
      <c r="B639" t="str">
        <f>"061515567"</f>
        <v>061515567</v>
      </c>
      <c r="C639" t="s">
        <v>16</v>
      </c>
      <c r="D639" t="s">
        <v>2188</v>
      </c>
      <c r="E639" t="s">
        <v>112</v>
      </c>
      <c r="F639" t="s">
        <v>113</v>
      </c>
      <c r="G639" t="s">
        <v>113</v>
      </c>
      <c r="H639" t="s">
        <v>113</v>
      </c>
      <c r="I639" t="s">
        <v>30</v>
      </c>
      <c r="J639" t="s">
        <v>2182</v>
      </c>
      <c r="K639" t="str">
        <f>"6"</f>
        <v>6</v>
      </c>
      <c r="L639" t="str">
        <f>""</f>
        <v/>
      </c>
      <c r="M639" t="str">
        <f>"20-680"</f>
        <v>20-680</v>
      </c>
      <c r="N639" t="str">
        <f>"501284394"</f>
        <v>501284394</v>
      </c>
      <c r="P639" t="s">
        <v>24</v>
      </c>
    </row>
    <row r="640" spans="1:16" hidden="1" x14ac:dyDescent="0.25">
      <c r="A640">
        <v>119674</v>
      </c>
      <c r="B640" t="str">
        <f>"101660497"</f>
        <v>101660497</v>
      </c>
      <c r="C640" t="s">
        <v>16</v>
      </c>
      <c r="D640" t="s">
        <v>2189</v>
      </c>
      <c r="E640" t="s">
        <v>39</v>
      </c>
      <c r="F640" t="s">
        <v>50</v>
      </c>
      <c r="G640" t="s">
        <v>51</v>
      </c>
      <c r="H640" t="s">
        <v>51</v>
      </c>
      <c r="I640" t="s">
        <v>30</v>
      </c>
      <c r="J640" t="s">
        <v>2190</v>
      </c>
      <c r="K640" t="str">
        <f>"34"</f>
        <v>34</v>
      </c>
      <c r="L640" t="str">
        <f>""</f>
        <v/>
      </c>
      <c r="M640" t="str">
        <f>"98-220"</f>
        <v>98-220</v>
      </c>
      <c r="N640" t="str">
        <f>"0501033342"</f>
        <v>0501033342</v>
      </c>
      <c r="O640" t="s">
        <v>2191</v>
      </c>
      <c r="P640" t="s">
        <v>24</v>
      </c>
    </row>
    <row r="641" spans="1:16" hidden="1" x14ac:dyDescent="0.25">
      <c r="A641">
        <v>125186</v>
      </c>
      <c r="B641" t="str">
        <f>"101843080"</f>
        <v>101843080</v>
      </c>
      <c r="C641" t="s">
        <v>16</v>
      </c>
      <c r="D641" t="s">
        <v>2192</v>
      </c>
      <c r="E641" t="s">
        <v>39</v>
      </c>
      <c r="F641" t="s">
        <v>1267</v>
      </c>
      <c r="G641" t="s">
        <v>1268</v>
      </c>
      <c r="H641" t="s">
        <v>1268</v>
      </c>
      <c r="I641" t="s">
        <v>30</v>
      </c>
      <c r="J641" t="s">
        <v>2193</v>
      </c>
      <c r="K641" t="str">
        <f>"3"</f>
        <v>3</v>
      </c>
      <c r="L641" t="str">
        <f>""</f>
        <v/>
      </c>
      <c r="M641" t="str">
        <f>"98-200"</f>
        <v>98-200</v>
      </c>
      <c r="N641" t="str">
        <f>"436569563"</f>
        <v>436569563</v>
      </c>
      <c r="O641" t="s">
        <v>2191</v>
      </c>
      <c r="P641" t="s">
        <v>24</v>
      </c>
    </row>
    <row r="642" spans="1:16" hidden="1" x14ac:dyDescent="0.25">
      <c r="A642">
        <v>479533</v>
      </c>
      <c r="B642" t="str">
        <f>"523724121"</f>
        <v>523724121</v>
      </c>
      <c r="C642" t="s">
        <v>16</v>
      </c>
      <c r="D642" t="s">
        <v>2194</v>
      </c>
      <c r="E642" t="s">
        <v>80</v>
      </c>
      <c r="F642" t="s">
        <v>339</v>
      </c>
      <c r="G642" t="s">
        <v>339</v>
      </c>
      <c r="H642" t="s">
        <v>339</v>
      </c>
      <c r="I642" t="s">
        <v>30</v>
      </c>
      <c r="J642" t="s">
        <v>1801</v>
      </c>
      <c r="K642" t="str">
        <f>"36"</f>
        <v>36</v>
      </c>
      <c r="L642" t="str">
        <f>"2"</f>
        <v>2</v>
      </c>
      <c r="M642" t="str">
        <f>"80-433"</f>
        <v>80-433</v>
      </c>
      <c r="N642" t="str">
        <f>"781273578"</f>
        <v>781273578</v>
      </c>
      <c r="O642" t="s">
        <v>2195</v>
      </c>
      <c r="P642" t="s">
        <v>24</v>
      </c>
    </row>
    <row r="643" spans="1:16" hidden="1" x14ac:dyDescent="0.25">
      <c r="A643">
        <v>126778</v>
      </c>
      <c r="B643" t="str">
        <f>"360736357"</f>
        <v>360736357</v>
      </c>
      <c r="C643" t="s">
        <v>16</v>
      </c>
      <c r="D643" t="s">
        <v>2196</v>
      </c>
      <c r="E643" t="s">
        <v>18</v>
      </c>
      <c r="F643" t="s">
        <v>19</v>
      </c>
      <c r="G643" t="s">
        <v>1089</v>
      </c>
      <c r="H643" t="s">
        <v>1089</v>
      </c>
      <c r="I643" t="s">
        <v>21</v>
      </c>
      <c r="J643" t="s">
        <v>2197</v>
      </c>
      <c r="K643" t="str">
        <f>"179"</f>
        <v>179</v>
      </c>
      <c r="L643" t="str">
        <f>""</f>
        <v/>
      </c>
      <c r="M643" t="str">
        <f>"04-881"</f>
        <v>04-881</v>
      </c>
      <c r="N643" t="str">
        <f>"600909097"</f>
        <v>600909097</v>
      </c>
      <c r="O643" t="s">
        <v>2198</v>
      </c>
      <c r="P643" t="s">
        <v>24</v>
      </c>
    </row>
    <row r="644" spans="1:16" hidden="1" x14ac:dyDescent="0.25">
      <c r="A644">
        <v>274937</v>
      </c>
      <c r="B644" t="str">
        <f>"386420734"</f>
        <v>386420734</v>
      </c>
      <c r="C644" t="s">
        <v>16</v>
      </c>
      <c r="D644" t="s">
        <v>2199</v>
      </c>
      <c r="E644" t="s">
        <v>389</v>
      </c>
      <c r="F644" t="s">
        <v>2200</v>
      </c>
      <c r="G644" t="s">
        <v>2201</v>
      </c>
      <c r="H644" t="s">
        <v>2201</v>
      </c>
      <c r="I644" t="s">
        <v>30</v>
      </c>
      <c r="J644" t="s">
        <v>2202</v>
      </c>
      <c r="K644" t="str">
        <f>"4"</f>
        <v>4</v>
      </c>
      <c r="L644" t="str">
        <f>"3"</f>
        <v>3</v>
      </c>
      <c r="M644" t="str">
        <f>"19-300"</f>
        <v>19-300</v>
      </c>
      <c r="N644" t="str">
        <f>"663919237"</f>
        <v>663919237</v>
      </c>
      <c r="O644" t="s">
        <v>2203</v>
      </c>
      <c r="P644" t="s">
        <v>24</v>
      </c>
    </row>
    <row r="645" spans="1:16" hidden="1" x14ac:dyDescent="0.25">
      <c r="A645">
        <v>19061</v>
      </c>
      <c r="B645" t="str">
        <f>"221748173"</f>
        <v>221748173</v>
      </c>
      <c r="C645" t="s">
        <v>16</v>
      </c>
      <c r="D645" t="s">
        <v>2204</v>
      </c>
      <c r="E645" t="s">
        <v>80</v>
      </c>
      <c r="F645" t="s">
        <v>549</v>
      </c>
      <c r="G645" t="s">
        <v>550</v>
      </c>
      <c r="H645" t="s">
        <v>550</v>
      </c>
      <c r="I645" t="s">
        <v>30</v>
      </c>
      <c r="J645" t="s">
        <v>660</v>
      </c>
      <c r="K645" t="str">
        <f>"6"</f>
        <v>6</v>
      </c>
      <c r="L645" t="str">
        <f>""</f>
        <v/>
      </c>
      <c r="M645" t="str">
        <f>"84-300"</f>
        <v>84-300</v>
      </c>
      <c r="N645" t="str">
        <f>"605424257"</f>
        <v>605424257</v>
      </c>
      <c r="O645" t="s">
        <v>2205</v>
      </c>
      <c r="P645" t="s">
        <v>24</v>
      </c>
    </row>
    <row r="646" spans="1:16" hidden="1" x14ac:dyDescent="0.25">
      <c r="A646">
        <v>57332</v>
      </c>
      <c r="B646" t="str">
        <f>"221765154"</f>
        <v>221765154</v>
      </c>
      <c r="C646" t="s">
        <v>16</v>
      </c>
      <c r="D646" t="s">
        <v>2206</v>
      </c>
      <c r="E646" t="s">
        <v>80</v>
      </c>
      <c r="F646" t="s">
        <v>567</v>
      </c>
      <c r="G646" t="s">
        <v>769</v>
      </c>
      <c r="H646" t="s">
        <v>769</v>
      </c>
      <c r="I646" t="s">
        <v>30</v>
      </c>
      <c r="J646" t="s">
        <v>1794</v>
      </c>
      <c r="K646" t="str">
        <f>"66"</f>
        <v>66</v>
      </c>
      <c r="L646" t="str">
        <f>""</f>
        <v/>
      </c>
      <c r="M646" t="str">
        <f>"83-330"</f>
        <v>83-330</v>
      </c>
      <c r="N646" t="str">
        <f>"603-863-526"</f>
        <v>603-863-526</v>
      </c>
      <c r="O646" t="s">
        <v>2207</v>
      </c>
      <c r="P646" t="s">
        <v>24</v>
      </c>
    </row>
    <row r="647" spans="1:16" hidden="1" x14ac:dyDescent="0.25">
      <c r="A647">
        <v>276555</v>
      </c>
      <c r="B647" t="str">
        <f>"387223740"</f>
        <v>387223740</v>
      </c>
      <c r="C647" t="s">
        <v>16</v>
      </c>
      <c r="D647" t="s">
        <v>2208</v>
      </c>
      <c r="E647" t="s">
        <v>74</v>
      </c>
      <c r="F647" t="s">
        <v>433</v>
      </c>
      <c r="G647" t="s">
        <v>433</v>
      </c>
      <c r="H647" t="s">
        <v>433</v>
      </c>
      <c r="I647" t="s">
        <v>30</v>
      </c>
      <c r="J647" t="s">
        <v>2209</v>
      </c>
      <c r="K647" t="str">
        <f>"94"</f>
        <v>94</v>
      </c>
      <c r="L647" t="str">
        <f>"7"</f>
        <v>7</v>
      </c>
      <c r="M647" t="str">
        <f>"25-558"</f>
        <v>25-558</v>
      </c>
      <c r="N647" t="str">
        <f>"785251545"</f>
        <v>785251545</v>
      </c>
      <c r="O647" t="s">
        <v>2210</v>
      </c>
      <c r="P647" t="s">
        <v>24</v>
      </c>
    </row>
    <row r="648" spans="1:16" hidden="1" x14ac:dyDescent="0.25">
      <c r="A648">
        <v>68871</v>
      </c>
      <c r="B648" t="str">
        <f>"221772020"</f>
        <v>221772020</v>
      </c>
      <c r="C648" t="s">
        <v>16</v>
      </c>
      <c r="D648" t="s">
        <v>2211</v>
      </c>
      <c r="E648" t="s">
        <v>80</v>
      </c>
      <c r="F648" t="s">
        <v>339</v>
      </c>
      <c r="G648" t="s">
        <v>339</v>
      </c>
      <c r="H648" t="s">
        <v>339</v>
      </c>
      <c r="I648" t="s">
        <v>30</v>
      </c>
      <c r="J648" t="s">
        <v>2212</v>
      </c>
      <c r="K648" t="str">
        <f>"14"</f>
        <v>14</v>
      </c>
      <c r="L648" t="str">
        <f>"sala 14"</f>
        <v>sala 14</v>
      </c>
      <c r="M648" t="str">
        <f>"80-441"</f>
        <v>80-441</v>
      </c>
      <c r="N648" t="str">
        <f>"583410697"</f>
        <v>583410697</v>
      </c>
      <c r="O648" t="s">
        <v>2213</v>
      </c>
      <c r="P648" t="s">
        <v>24</v>
      </c>
    </row>
    <row r="649" spans="1:16" hidden="1" x14ac:dyDescent="0.25">
      <c r="A649">
        <v>133258</v>
      </c>
      <c r="B649" t="str">
        <f>"366886425"</f>
        <v>366886425</v>
      </c>
      <c r="C649" t="s">
        <v>16</v>
      </c>
      <c r="D649" t="s">
        <v>2214</v>
      </c>
      <c r="E649" t="s">
        <v>80</v>
      </c>
      <c r="F649" t="s">
        <v>145</v>
      </c>
      <c r="G649" t="s">
        <v>1476</v>
      </c>
      <c r="H649" t="s">
        <v>1476</v>
      </c>
      <c r="I649" t="s">
        <v>30</v>
      </c>
      <c r="J649" t="s">
        <v>2215</v>
      </c>
      <c r="K649" t="str">
        <f>"59"</f>
        <v>59</v>
      </c>
      <c r="L649" t="str">
        <f>""</f>
        <v/>
      </c>
      <c r="M649" t="str">
        <f>"84-240"</f>
        <v>84-240</v>
      </c>
      <c r="N649" t="str">
        <f>"691611611"</f>
        <v>691611611</v>
      </c>
      <c r="O649" t="s">
        <v>2216</v>
      </c>
      <c r="P649" t="s">
        <v>24</v>
      </c>
    </row>
    <row r="650" spans="1:16" hidden="1" x14ac:dyDescent="0.25">
      <c r="A650">
        <v>133398</v>
      </c>
      <c r="B650" t="str">
        <f>"367212953"</f>
        <v>367212953</v>
      </c>
      <c r="C650" t="s">
        <v>16</v>
      </c>
      <c r="D650" t="s">
        <v>2217</v>
      </c>
      <c r="E650" t="s">
        <v>80</v>
      </c>
      <c r="F650" t="s">
        <v>567</v>
      </c>
      <c r="G650" t="s">
        <v>769</v>
      </c>
      <c r="H650" t="s">
        <v>2218</v>
      </c>
      <c r="I650" t="s">
        <v>68</v>
      </c>
      <c r="J650" t="s">
        <v>426</v>
      </c>
      <c r="K650" t="str">
        <f>"17"</f>
        <v>17</v>
      </c>
      <c r="L650" t="str">
        <f>""</f>
        <v/>
      </c>
      <c r="M650" t="str">
        <f>"80-297"</f>
        <v>80-297</v>
      </c>
      <c r="N650" t="str">
        <f>"691355365"</f>
        <v>691355365</v>
      </c>
      <c r="O650" t="s">
        <v>2219</v>
      </c>
      <c r="P650" t="s">
        <v>24</v>
      </c>
    </row>
    <row r="651" spans="1:16" hidden="1" x14ac:dyDescent="0.25">
      <c r="A651">
        <v>110476</v>
      </c>
      <c r="B651" t="str">
        <f>"081116969"</f>
        <v>081116969</v>
      </c>
      <c r="C651" t="s">
        <v>16</v>
      </c>
      <c r="D651" t="s">
        <v>2220</v>
      </c>
      <c r="E651" t="s">
        <v>240</v>
      </c>
      <c r="F651" t="s">
        <v>473</v>
      </c>
      <c r="G651" t="s">
        <v>473</v>
      </c>
      <c r="H651" t="s">
        <v>473</v>
      </c>
      <c r="I651" t="s">
        <v>30</v>
      </c>
      <c r="J651" t="s">
        <v>2221</v>
      </c>
      <c r="K651" t="str">
        <f>"47"</f>
        <v>47</v>
      </c>
      <c r="L651" t="str">
        <f>""</f>
        <v/>
      </c>
      <c r="M651" t="str">
        <f>"66-400"</f>
        <v>66-400</v>
      </c>
      <c r="N651" t="str">
        <f>"600896893"</f>
        <v>600896893</v>
      </c>
      <c r="O651" t="s">
        <v>2222</v>
      </c>
      <c r="P651" t="s">
        <v>24</v>
      </c>
    </row>
    <row r="652" spans="1:16" hidden="1" x14ac:dyDescent="0.25">
      <c r="A652">
        <v>75217</v>
      </c>
      <c r="B652" t="str">
        <f>"281443805"</f>
        <v>281443805</v>
      </c>
      <c r="C652" t="s">
        <v>16</v>
      </c>
      <c r="D652" t="s">
        <v>2223</v>
      </c>
      <c r="E652" t="s">
        <v>389</v>
      </c>
      <c r="F652" t="s">
        <v>526</v>
      </c>
      <c r="G652" t="s">
        <v>526</v>
      </c>
      <c r="H652" t="s">
        <v>526</v>
      </c>
      <c r="I652" t="s">
        <v>30</v>
      </c>
      <c r="J652" t="s">
        <v>2224</v>
      </c>
      <c r="K652" t="str">
        <f>"14a"</f>
        <v>14a</v>
      </c>
      <c r="L652" t="str">
        <f>""</f>
        <v/>
      </c>
      <c r="M652" t="str">
        <f>"82-300"</f>
        <v>82-300</v>
      </c>
      <c r="N652" t="str">
        <f>"552337788"</f>
        <v>552337788</v>
      </c>
      <c r="O652" t="s">
        <v>2225</v>
      </c>
      <c r="P652" t="s">
        <v>24</v>
      </c>
    </row>
    <row r="653" spans="1:16" hidden="1" x14ac:dyDescent="0.25">
      <c r="A653">
        <v>121262</v>
      </c>
      <c r="B653" t="str">
        <f>"147024392"</f>
        <v>147024392</v>
      </c>
      <c r="C653" t="s">
        <v>25</v>
      </c>
      <c r="D653" t="s">
        <v>2226</v>
      </c>
      <c r="E653" t="s">
        <v>18</v>
      </c>
      <c r="F653" t="s">
        <v>19</v>
      </c>
      <c r="G653" t="s">
        <v>405</v>
      </c>
      <c r="H653" t="s">
        <v>405</v>
      </c>
      <c r="I653" t="s">
        <v>21</v>
      </c>
      <c r="J653" t="s">
        <v>2227</v>
      </c>
      <c r="K653" t="str">
        <f>"31"</f>
        <v>31</v>
      </c>
      <c r="L653" t="str">
        <f>""</f>
        <v/>
      </c>
      <c r="M653" t="str">
        <f>"03-805"</f>
        <v>03-805</v>
      </c>
      <c r="N653" t="str">
        <f>"668393848"</f>
        <v>668393848</v>
      </c>
      <c r="O653" t="s">
        <v>2228</v>
      </c>
      <c r="P653" t="s">
        <v>24</v>
      </c>
    </row>
    <row r="654" spans="1:16" hidden="1" x14ac:dyDescent="0.25">
      <c r="A654">
        <v>479361</v>
      </c>
      <c r="B654" t="str">
        <f>"523346558"</f>
        <v>523346558</v>
      </c>
      <c r="C654" t="s">
        <v>25</v>
      </c>
      <c r="D654" t="s">
        <v>2229</v>
      </c>
      <c r="E654" t="s">
        <v>240</v>
      </c>
      <c r="F654" t="s">
        <v>719</v>
      </c>
      <c r="G654" t="s">
        <v>719</v>
      </c>
      <c r="H654" t="s">
        <v>719</v>
      </c>
      <c r="I654" t="s">
        <v>30</v>
      </c>
      <c r="J654" t="s">
        <v>2230</v>
      </c>
      <c r="K654" t="str">
        <f>"32"</f>
        <v>32</v>
      </c>
      <c r="L654" t="str">
        <f>"5"</f>
        <v>5</v>
      </c>
      <c r="M654" t="str">
        <f>"65-001"</f>
        <v>65-001</v>
      </c>
      <c r="N654" t="str">
        <f>"601934558"</f>
        <v>601934558</v>
      </c>
      <c r="O654" t="s">
        <v>2231</v>
      </c>
      <c r="P654" t="s">
        <v>24</v>
      </c>
    </row>
    <row r="655" spans="1:16" x14ac:dyDescent="0.25">
      <c r="A655" s="2">
        <v>12763</v>
      </c>
      <c r="B655" s="2" t="str">
        <f>"091287433"</f>
        <v>091287433</v>
      </c>
      <c r="C655" s="2" t="s">
        <v>16</v>
      </c>
      <c r="D655" s="2" t="s">
        <v>2232</v>
      </c>
      <c r="E655" s="2" t="s">
        <v>181</v>
      </c>
      <c r="F655" s="2" t="s">
        <v>2233</v>
      </c>
      <c r="G655" s="2" t="s">
        <v>2234</v>
      </c>
      <c r="H655" s="2" t="s">
        <v>2234</v>
      </c>
      <c r="I655" s="2" t="s">
        <v>30</v>
      </c>
      <c r="J655" s="2" t="s">
        <v>2043</v>
      </c>
      <c r="K655" s="2" t="str">
        <f>"2"</f>
        <v>2</v>
      </c>
      <c r="L655" s="2" t="str">
        <f>""</f>
        <v/>
      </c>
      <c r="M655" s="2" t="str">
        <f>"86-100"</f>
        <v>86-100</v>
      </c>
      <c r="N655" s="2" t="str">
        <f>"523311226"</f>
        <v>523311226</v>
      </c>
      <c r="O655" s="2" t="s">
        <v>2235</v>
      </c>
      <c r="P655" s="2" t="s">
        <v>121</v>
      </c>
    </row>
    <row r="656" spans="1:16" hidden="1" x14ac:dyDescent="0.25">
      <c r="A656">
        <v>269794</v>
      </c>
      <c r="B656" t="str">
        <f>"381771794"</f>
        <v>381771794</v>
      </c>
      <c r="C656" t="s">
        <v>16</v>
      </c>
      <c r="D656" t="s">
        <v>2236</v>
      </c>
      <c r="E656" t="s">
        <v>18</v>
      </c>
      <c r="F656" t="s">
        <v>19</v>
      </c>
      <c r="G656" t="s">
        <v>149</v>
      </c>
      <c r="H656" t="s">
        <v>149</v>
      </c>
      <c r="I656" t="s">
        <v>21</v>
      </c>
      <c r="J656" t="s">
        <v>150</v>
      </c>
      <c r="K656" t="str">
        <f>"54 B"</f>
        <v>54 B</v>
      </c>
      <c r="L656" t="str">
        <f>"28"</f>
        <v>28</v>
      </c>
      <c r="M656" t="str">
        <f>"03-287"</f>
        <v>03-287</v>
      </c>
      <c r="N656" t="str">
        <f>"606698127"</f>
        <v>606698127</v>
      </c>
      <c r="O656" t="s">
        <v>2237</v>
      </c>
      <c r="P656" t="s">
        <v>24</v>
      </c>
    </row>
    <row r="657" spans="1:16" hidden="1" x14ac:dyDescent="0.25">
      <c r="A657">
        <v>64304</v>
      </c>
      <c r="B657" t="str">
        <f>"122694519"</f>
        <v>122694519</v>
      </c>
      <c r="C657" t="s">
        <v>16</v>
      </c>
      <c r="D657" t="s">
        <v>2238</v>
      </c>
      <c r="E657" t="s">
        <v>27</v>
      </c>
      <c r="F657" t="s">
        <v>123</v>
      </c>
      <c r="G657" t="s">
        <v>281</v>
      </c>
      <c r="H657" t="s">
        <v>281</v>
      </c>
      <c r="I657" t="s">
        <v>42</v>
      </c>
      <c r="J657" t="s">
        <v>2239</v>
      </c>
      <c r="K657" t="str">
        <f>"80"</f>
        <v>80</v>
      </c>
      <c r="L657" t="str">
        <f>""</f>
        <v/>
      </c>
      <c r="M657" t="str">
        <f>"31-546"</f>
        <v>31-546</v>
      </c>
      <c r="N657" t="str">
        <f>"126431675"</f>
        <v>126431675</v>
      </c>
      <c r="O657" t="s">
        <v>2240</v>
      </c>
      <c r="P657" t="s">
        <v>24</v>
      </c>
    </row>
    <row r="658" spans="1:16" x14ac:dyDescent="0.25">
      <c r="A658" s="2">
        <v>70970</v>
      </c>
      <c r="B658" s="2" t="str">
        <f>"001238815"</f>
        <v>001238815</v>
      </c>
      <c r="C658" s="2" t="s">
        <v>16</v>
      </c>
      <c r="D658" s="2" t="s">
        <v>2241</v>
      </c>
      <c r="E658" s="2" t="s">
        <v>34</v>
      </c>
      <c r="F658" s="2" t="s">
        <v>538</v>
      </c>
      <c r="G658" s="2" t="s">
        <v>539</v>
      </c>
      <c r="H658" s="2" t="s">
        <v>539</v>
      </c>
      <c r="I658" s="2" t="s">
        <v>30</v>
      </c>
      <c r="J658" s="2" t="s">
        <v>2242</v>
      </c>
      <c r="K658" s="2" t="str">
        <f>"10B"</f>
        <v>10B</v>
      </c>
      <c r="L658" s="2" t="str">
        <f>""</f>
        <v/>
      </c>
      <c r="M658" s="2" t="str">
        <f>"78-600"</f>
        <v>78-600</v>
      </c>
      <c r="N658" s="2" t="str">
        <f>"673871629"</f>
        <v>673871629</v>
      </c>
      <c r="O658" s="2" t="s">
        <v>2243</v>
      </c>
      <c r="P658" s="2" t="s">
        <v>121</v>
      </c>
    </row>
    <row r="659" spans="1:16" x14ac:dyDescent="0.25">
      <c r="A659" s="2">
        <v>74925</v>
      </c>
      <c r="B659" s="2" t="str">
        <f>"000947484"</f>
        <v>000947484</v>
      </c>
      <c r="C659" s="2" t="s">
        <v>16</v>
      </c>
      <c r="D659" s="2" t="s">
        <v>2244</v>
      </c>
      <c r="E659" s="2" t="s">
        <v>18</v>
      </c>
      <c r="F659" s="2" t="s">
        <v>2245</v>
      </c>
      <c r="G659" s="2" t="s">
        <v>2246</v>
      </c>
      <c r="H659" s="2" t="s">
        <v>2246</v>
      </c>
      <c r="I659" s="2" t="s">
        <v>30</v>
      </c>
      <c r="J659" s="2" t="s">
        <v>2247</v>
      </c>
      <c r="K659" s="2" t="str">
        <f>"9/11"</f>
        <v>9/11</v>
      </c>
      <c r="L659" s="2" t="str">
        <f>""</f>
        <v/>
      </c>
      <c r="M659" s="2" t="str">
        <f>"09-300"</f>
        <v>09-300</v>
      </c>
      <c r="N659" s="2" t="str">
        <f>"236572101"</f>
        <v>236572101</v>
      </c>
      <c r="O659" s="2" t="s">
        <v>2248</v>
      </c>
      <c r="P659" s="2" t="s">
        <v>121</v>
      </c>
    </row>
    <row r="660" spans="1:16" x14ac:dyDescent="0.25">
      <c r="A660" s="2">
        <v>17304</v>
      </c>
      <c r="B660" s="2" t="str">
        <f>"970254152"</f>
        <v>970254152</v>
      </c>
      <c r="C660" s="2" t="s">
        <v>16</v>
      </c>
      <c r="D660" s="2" t="s">
        <v>2249</v>
      </c>
      <c r="E660" s="2" t="s">
        <v>240</v>
      </c>
      <c r="F660" s="2" t="s">
        <v>2250</v>
      </c>
      <c r="G660" s="2" t="s">
        <v>2251</v>
      </c>
      <c r="H660" s="2" t="s">
        <v>2251</v>
      </c>
      <c r="I660" s="2" t="s">
        <v>30</v>
      </c>
      <c r="J660" s="2" t="s">
        <v>2252</v>
      </c>
      <c r="K660" s="2" t="str">
        <f>"69"</f>
        <v>69</v>
      </c>
      <c r="L660" s="2" t="str">
        <f>""</f>
        <v/>
      </c>
      <c r="M660" s="2" t="str">
        <f>"67-300"</f>
        <v>67-300</v>
      </c>
      <c r="N660" s="2" t="str">
        <f>"0683762249"</f>
        <v>0683762249</v>
      </c>
      <c r="O660" s="2" t="s">
        <v>2253</v>
      </c>
      <c r="P660" s="2" t="s">
        <v>121</v>
      </c>
    </row>
    <row r="661" spans="1:16" x14ac:dyDescent="0.25">
      <c r="A661" s="2">
        <v>19378</v>
      </c>
      <c r="B661" s="2" t="str">
        <f>"017239950"</f>
        <v>017239950</v>
      </c>
      <c r="C661" s="2" t="s">
        <v>16</v>
      </c>
      <c r="D661" s="2" t="s">
        <v>2249</v>
      </c>
      <c r="E661" s="2" t="s">
        <v>18</v>
      </c>
      <c r="F661" s="2" t="s">
        <v>846</v>
      </c>
      <c r="G661" s="2" t="s">
        <v>925</v>
      </c>
      <c r="H661" s="2" t="s">
        <v>925</v>
      </c>
      <c r="I661" s="2" t="s">
        <v>30</v>
      </c>
      <c r="J661" s="2" t="s">
        <v>2255</v>
      </c>
      <c r="K661" s="2" t="str">
        <f>"30"</f>
        <v>30</v>
      </c>
      <c r="L661" s="2" t="str">
        <f>""</f>
        <v/>
      </c>
      <c r="M661" s="2" t="str">
        <f>"05-825"</f>
        <v>05-825</v>
      </c>
      <c r="N661" s="2" t="str">
        <f>"227555574"</f>
        <v>227555574</v>
      </c>
      <c r="O661" s="2" t="s">
        <v>2256</v>
      </c>
      <c r="P661" s="2" t="s">
        <v>121</v>
      </c>
    </row>
    <row r="662" spans="1:16" x14ac:dyDescent="0.25">
      <c r="A662" s="2">
        <v>13310</v>
      </c>
      <c r="B662" s="2" t="str">
        <f>"001058438"</f>
        <v>001058438</v>
      </c>
      <c r="C662" s="2" t="s">
        <v>16</v>
      </c>
      <c r="D662" s="2" t="s">
        <v>2249</v>
      </c>
      <c r="E662" s="2" t="s">
        <v>181</v>
      </c>
      <c r="F662" s="2" t="s">
        <v>2257</v>
      </c>
      <c r="G662" s="2" t="s">
        <v>2258</v>
      </c>
      <c r="H662" s="2" t="s">
        <v>2258</v>
      </c>
      <c r="I662" s="2" t="s">
        <v>30</v>
      </c>
      <c r="J662" s="2" t="s">
        <v>509</v>
      </c>
      <c r="K662" s="2" t="str">
        <f>"58"</f>
        <v>58</v>
      </c>
      <c r="L662" s="2" t="str">
        <f>""</f>
        <v/>
      </c>
      <c r="M662" s="2" t="str">
        <f>"88-200"</f>
        <v>88-200</v>
      </c>
      <c r="N662" s="2" t="str">
        <f>"542853865"</f>
        <v>542853865</v>
      </c>
      <c r="O662" s="2" t="s">
        <v>2259</v>
      </c>
      <c r="P662" s="2" t="s">
        <v>121</v>
      </c>
    </row>
    <row r="663" spans="1:16" x14ac:dyDescent="0.25">
      <c r="A663" s="2">
        <v>24261</v>
      </c>
      <c r="B663" s="2" t="str">
        <f>"250019945"</f>
        <v>250019945</v>
      </c>
      <c r="C663" s="2" t="s">
        <v>16</v>
      </c>
      <c r="D663" s="2" t="s">
        <v>2249</v>
      </c>
      <c r="E663" s="2" t="s">
        <v>157</v>
      </c>
      <c r="F663" s="2" t="s">
        <v>476</v>
      </c>
      <c r="G663" s="2" t="s">
        <v>477</v>
      </c>
      <c r="H663" s="2" t="s">
        <v>477</v>
      </c>
      <c r="I663" s="2" t="s">
        <v>30</v>
      </c>
      <c r="J663" s="2" t="s">
        <v>1332</v>
      </c>
      <c r="K663" s="2" t="str">
        <f>"1"</f>
        <v>1</v>
      </c>
      <c r="L663" s="2" t="str">
        <f>""</f>
        <v/>
      </c>
      <c r="M663" s="2" t="str">
        <f>"63-400"</f>
        <v>63-400</v>
      </c>
      <c r="N663" s="2" t="str">
        <f>"627365139"</f>
        <v>627365139</v>
      </c>
      <c r="O663" s="2" t="s">
        <v>2260</v>
      </c>
      <c r="P663" s="2" t="s">
        <v>121</v>
      </c>
    </row>
    <row r="664" spans="1:16" x14ac:dyDescent="0.25">
      <c r="A664" s="2">
        <v>48578</v>
      </c>
      <c r="B664" s="2" t="str">
        <f>"000716543"</f>
        <v>000716543</v>
      </c>
      <c r="C664" s="2" t="s">
        <v>16</v>
      </c>
      <c r="D664" s="2" t="s">
        <v>2249</v>
      </c>
      <c r="E664" s="2" t="s">
        <v>389</v>
      </c>
      <c r="F664" s="2" t="s">
        <v>2261</v>
      </c>
      <c r="G664" s="2" t="s">
        <v>2262</v>
      </c>
      <c r="H664" s="2" t="s">
        <v>2262</v>
      </c>
      <c r="I664" s="2" t="s">
        <v>30</v>
      </c>
      <c r="J664" s="2" t="s">
        <v>2263</v>
      </c>
      <c r="K664" s="2" t="str">
        <f>"13"</f>
        <v>13</v>
      </c>
      <c r="L664" s="2" t="str">
        <f>""</f>
        <v/>
      </c>
      <c r="M664" s="2" t="str">
        <f>"11-200"</f>
        <v>11-200</v>
      </c>
      <c r="N664" s="2" t="str">
        <f>"897622806"</f>
        <v>897622806</v>
      </c>
      <c r="O664" s="2" t="s">
        <v>2264</v>
      </c>
      <c r="P664" s="2" t="s">
        <v>121</v>
      </c>
    </row>
    <row r="665" spans="1:16" x14ac:dyDescent="0.25">
      <c r="A665" s="2">
        <v>60921</v>
      </c>
      <c r="B665" s="2" t="str">
        <f>"000782155"</f>
        <v>000782155</v>
      </c>
      <c r="C665" s="2" t="s">
        <v>16</v>
      </c>
      <c r="D665" s="2" t="s">
        <v>2249</v>
      </c>
      <c r="E665" s="2" t="s">
        <v>117</v>
      </c>
      <c r="F665" s="2" t="s">
        <v>2265</v>
      </c>
      <c r="G665" s="2" t="s">
        <v>2265</v>
      </c>
      <c r="H665" s="2" t="s">
        <v>2265</v>
      </c>
      <c r="I665" s="2" t="s">
        <v>30</v>
      </c>
      <c r="J665" s="2" t="s">
        <v>2266</v>
      </c>
      <c r="K665" s="2" t="str">
        <f>"2"</f>
        <v>2</v>
      </c>
      <c r="L665" s="2" t="str">
        <f>""</f>
        <v/>
      </c>
      <c r="M665" s="2" t="str">
        <f>"41-902"</f>
        <v>41-902</v>
      </c>
      <c r="N665" s="2" t="str">
        <f>"322819405"</f>
        <v>322819405</v>
      </c>
      <c r="O665" s="2" t="s">
        <v>2267</v>
      </c>
      <c r="P665" s="2" t="s">
        <v>121</v>
      </c>
    </row>
    <row r="666" spans="1:16" hidden="1" x14ac:dyDescent="0.25">
      <c r="A666">
        <v>69785</v>
      </c>
      <c r="B666" t="str">
        <f>"221775678"</f>
        <v>221775678</v>
      </c>
      <c r="C666" t="s">
        <v>16</v>
      </c>
      <c r="D666" t="s">
        <v>2268</v>
      </c>
      <c r="E666" t="s">
        <v>80</v>
      </c>
      <c r="F666" t="s">
        <v>339</v>
      </c>
      <c r="G666" t="s">
        <v>339</v>
      </c>
      <c r="H666" t="s">
        <v>339</v>
      </c>
      <c r="I666" t="s">
        <v>30</v>
      </c>
      <c r="J666" t="s">
        <v>2269</v>
      </c>
      <c r="K666" t="str">
        <f>"11/12"</f>
        <v>11/12</v>
      </c>
      <c r="L666" t="str">
        <f>""</f>
        <v/>
      </c>
      <c r="M666" t="str">
        <f>"80-842"</f>
        <v>80-842</v>
      </c>
      <c r="N666" t="str">
        <f>"583067720"</f>
        <v>583067720</v>
      </c>
      <c r="O666" t="s">
        <v>2270</v>
      </c>
      <c r="P666" t="s">
        <v>24</v>
      </c>
    </row>
    <row r="667" spans="1:16" hidden="1" x14ac:dyDescent="0.25">
      <c r="A667">
        <v>132206</v>
      </c>
      <c r="B667" t="str">
        <f>"365504953"</f>
        <v>365504953</v>
      </c>
      <c r="C667" t="s">
        <v>16</v>
      </c>
      <c r="D667" t="s">
        <v>2271</v>
      </c>
      <c r="E667" t="s">
        <v>181</v>
      </c>
      <c r="F667" t="s">
        <v>1418</v>
      </c>
      <c r="G667" t="s">
        <v>1418</v>
      </c>
      <c r="H667" t="s">
        <v>1418</v>
      </c>
      <c r="I667" t="s">
        <v>30</v>
      </c>
      <c r="J667" t="s">
        <v>2272</v>
      </c>
      <c r="K667" t="str">
        <f>"5a"</f>
        <v>5a</v>
      </c>
      <c r="L667" t="str">
        <f>""</f>
        <v/>
      </c>
      <c r="M667" t="str">
        <f>"87-800"</f>
        <v>87-800</v>
      </c>
      <c r="N667" t="str">
        <f>"544269696"</f>
        <v>544269696</v>
      </c>
      <c r="O667" t="s">
        <v>2273</v>
      </c>
      <c r="P667" t="s">
        <v>24</v>
      </c>
    </row>
    <row r="668" spans="1:16" hidden="1" x14ac:dyDescent="0.25">
      <c r="A668">
        <v>480434</v>
      </c>
      <c r="B668" t="str">
        <f>"526031281"</f>
        <v>526031281</v>
      </c>
      <c r="C668" t="s">
        <v>16</v>
      </c>
      <c r="D668" t="s">
        <v>2274</v>
      </c>
      <c r="E668" t="s">
        <v>97</v>
      </c>
      <c r="F668" t="s">
        <v>164</v>
      </c>
      <c r="G668" t="s">
        <v>504</v>
      </c>
      <c r="H668" t="s">
        <v>504</v>
      </c>
      <c r="I668" t="s">
        <v>30</v>
      </c>
      <c r="J668" t="s">
        <v>2275</v>
      </c>
      <c r="K668" t="str">
        <f>"51"</f>
        <v>51</v>
      </c>
      <c r="L668" t="str">
        <f>""</f>
        <v/>
      </c>
      <c r="M668" t="str">
        <f>"17-100"</f>
        <v>17-100</v>
      </c>
      <c r="N668" t="str">
        <f>"857166221"</f>
        <v>857166221</v>
      </c>
      <c r="O668" t="s">
        <v>2276</v>
      </c>
      <c r="P668" t="s">
        <v>24</v>
      </c>
    </row>
    <row r="669" spans="1:16" hidden="1" x14ac:dyDescent="0.25">
      <c r="A669">
        <v>272584</v>
      </c>
      <c r="B669" t="str">
        <f>"384286740"</f>
        <v>384286740</v>
      </c>
      <c r="C669" t="s">
        <v>16</v>
      </c>
      <c r="D669" t="s">
        <v>2277</v>
      </c>
      <c r="E669" t="s">
        <v>97</v>
      </c>
      <c r="F669" t="s">
        <v>222</v>
      </c>
      <c r="G669" t="s">
        <v>223</v>
      </c>
      <c r="H669" t="s">
        <v>223</v>
      </c>
      <c r="I669" t="s">
        <v>30</v>
      </c>
      <c r="J669" t="s">
        <v>671</v>
      </c>
      <c r="K669" t="str">
        <f>"2"</f>
        <v>2</v>
      </c>
      <c r="L669" t="str">
        <f>""</f>
        <v/>
      </c>
      <c r="M669" t="str">
        <f>"16-100"</f>
        <v>16-100</v>
      </c>
      <c r="N669" t="str">
        <f>"857166221"</f>
        <v>857166221</v>
      </c>
      <c r="O669" t="s">
        <v>2278</v>
      </c>
      <c r="P669" t="s">
        <v>24</v>
      </c>
    </row>
    <row r="670" spans="1:16" x14ac:dyDescent="0.25">
      <c r="A670" s="2">
        <v>40179</v>
      </c>
      <c r="B670" s="2" t="str">
        <f>"852538731"</f>
        <v>852538731</v>
      </c>
      <c r="C670" s="2" t="s">
        <v>16</v>
      </c>
      <c r="D670" s="2" t="s">
        <v>2279</v>
      </c>
      <c r="E670" s="2" t="s">
        <v>27</v>
      </c>
      <c r="F670" s="2" t="s">
        <v>762</v>
      </c>
      <c r="G670" s="2" t="s">
        <v>763</v>
      </c>
      <c r="H670" s="2" t="s">
        <v>763</v>
      </c>
      <c r="I670" s="2" t="s">
        <v>30</v>
      </c>
      <c r="J670" s="2" t="s">
        <v>2280</v>
      </c>
      <c r="K670" s="2" t="str">
        <f>"1B"</f>
        <v>1B</v>
      </c>
      <c r="L670" s="2" t="str">
        <f>""</f>
        <v/>
      </c>
      <c r="M670" s="2" t="str">
        <f>"32-700"</f>
        <v>32-700</v>
      </c>
      <c r="N670" s="2" t="str">
        <f>"146123691"</f>
        <v>146123691</v>
      </c>
      <c r="O670" s="2" t="s">
        <v>2281</v>
      </c>
      <c r="P670" s="2" t="s">
        <v>121</v>
      </c>
    </row>
    <row r="671" spans="1:16" x14ac:dyDescent="0.25">
      <c r="A671" s="2">
        <v>52487</v>
      </c>
      <c r="B671" s="2" t="str">
        <f>"000838170"</f>
        <v>000838170</v>
      </c>
      <c r="C671" s="2" t="s">
        <v>16</v>
      </c>
      <c r="D671" s="2" t="s">
        <v>2282</v>
      </c>
      <c r="E671" s="2" t="s">
        <v>18</v>
      </c>
      <c r="F671" s="2" t="s">
        <v>19</v>
      </c>
      <c r="G671" s="2" t="s">
        <v>393</v>
      </c>
      <c r="H671" s="2" t="s">
        <v>393</v>
      </c>
      <c r="I671" s="2" t="s">
        <v>21</v>
      </c>
      <c r="J671" s="2" t="s">
        <v>2283</v>
      </c>
      <c r="K671" s="2" t="str">
        <f>"9"</f>
        <v>9</v>
      </c>
      <c r="L671" s="2" t="str">
        <f>""</f>
        <v/>
      </c>
      <c r="M671" s="2" t="str">
        <f>"00-019"</f>
        <v>00-019</v>
      </c>
      <c r="N671" s="2" t="str">
        <f>"228269986"</f>
        <v>228269986</v>
      </c>
      <c r="O671" s="2" t="s">
        <v>2284</v>
      </c>
      <c r="P671" s="2" t="s">
        <v>121</v>
      </c>
    </row>
    <row r="672" spans="1:16" x14ac:dyDescent="0.25">
      <c r="A672" s="2">
        <v>42431</v>
      </c>
      <c r="B672" s="2" t="str">
        <f>"000218503"</f>
        <v>000218503</v>
      </c>
      <c r="C672" s="2" t="s">
        <v>16</v>
      </c>
      <c r="D672" s="2" t="s">
        <v>2285</v>
      </c>
      <c r="E672" s="2" t="s">
        <v>389</v>
      </c>
      <c r="F672" s="2" t="s">
        <v>526</v>
      </c>
      <c r="G672" s="2" t="s">
        <v>526</v>
      </c>
      <c r="H672" s="2" t="s">
        <v>526</v>
      </c>
      <c r="I672" s="2" t="s">
        <v>30</v>
      </c>
      <c r="J672" s="2" t="s">
        <v>2286</v>
      </c>
      <c r="K672" s="2" t="str">
        <f>"14"</f>
        <v>14</v>
      </c>
      <c r="L672" s="2" t="str">
        <f>""</f>
        <v/>
      </c>
      <c r="M672" s="2" t="str">
        <f>"82-300"</f>
        <v>82-300</v>
      </c>
      <c r="N672" s="2" t="str">
        <f>"556258230"</f>
        <v>556258230</v>
      </c>
      <c r="O672" s="2" t="s">
        <v>2287</v>
      </c>
      <c r="P672" s="2" t="s">
        <v>121</v>
      </c>
    </row>
    <row r="673" spans="1:16" x14ac:dyDescent="0.25">
      <c r="A673" s="2">
        <v>105618</v>
      </c>
      <c r="B673" s="2" t="str">
        <f>"451104747"</f>
        <v>451104747</v>
      </c>
      <c r="C673" s="2" t="s">
        <v>16</v>
      </c>
      <c r="D673" s="2" t="s">
        <v>2288</v>
      </c>
      <c r="E673" s="2" t="s">
        <v>97</v>
      </c>
      <c r="F673" s="2" t="s">
        <v>578</v>
      </c>
      <c r="G673" s="2" t="s">
        <v>578</v>
      </c>
      <c r="H673" s="2" t="s">
        <v>578</v>
      </c>
      <c r="I673" s="2" t="s">
        <v>30</v>
      </c>
      <c r="J673" s="2" t="s">
        <v>2289</v>
      </c>
      <c r="K673" s="2" t="str">
        <f>"1"</f>
        <v>1</v>
      </c>
      <c r="L673" s="2" t="str">
        <f>"27"</f>
        <v>27</v>
      </c>
      <c r="M673" s="2" t="str">
        <f>"18-400"</f>
        <v>18-400</v>
      </c>
      <c r="N673" s="2" t="str">
        <f>"862156947"</f>
        <v>862156947</v>
      </c>
      <c r="O673" s="2" t="s">
        <v>2290</v>
      </c>
      <c r="P673" s="2" t="s">
        <v>121</v>
      </c>
    </row>
    <row r="674" spans="1:16" x14ac:dyDescent="0.25">
      <c r="A674" s="2">
        <v>42146</v>
      </c>
      <c r="B674" s="2" t="str">
        <f>"000736764"</f>
        <v>000736764</v>
      </c>
      <c r="C674" s="2" t="s">
        <v>16</v>
      </c>
      <c r="D674" s="2" t="s">
        <v>2291</v>
      </c>
      <c r="E674" s="2" t="s">
        <v>18</v>
      </c>
      <c r="F674" s="2" t="s">
        <v>502</v>
      </c>
      <c r="G674" s="2" t="s">
        <v>502</v>
      </c>
      <c r="H674" s="2" t="s">
        <v>502</v>
      </c>
      <c r="I674" s="2" t="s">
        <v>30</v>
      </c>
      <c r="J674" s="2" t="s">
        <v>1124</v>
      </c>
      <c r="K674" s="2" t="str">
        <f>"22"</f>
        <v>22</v>
      </c>
      <c r="L674" s="2" t="str">
        <f>""</f>
        <v/>
      </c>
      <c r="M674" s="2" t="str">
        <f>"26-600"</f>
        <v>26-600</v>
      </c>
      <c r="N674" s="2" t="str">
        <f>"0483602097"</f>
        <v>0483602097</v>
      </c>
      <c r="O674" s="2" t="s">
        <v>2292</v>
      </c>
      <c r="P674" s="2" t="s">
        <v>121</v>
      </c>
    </row>
    <row r="675" spans="1:16" x14ac:dyDescent="0.25">
      <c r="A675" s="2">
        <v>52559</v>
      </c>
      <c r="B675" s="2" t="str">
        <f>"000838186"</f>
        <v>000838186</v>
      </c>
      <c r="C675" s="2" t="s">
        <v>16</v>
      </c>
      <c r="D675" s="2" t="s">
        <v>2293</v>
      </c>
      <c r="E675" s="2" t="s">
        <v>18</v>
      </c>
      <c r="F675" s="2" t="s">
        <v>19</v>
      </c>
      <c r="G675" s="2" t="s">
        <v>393</v>
      </c>
      <c r="H675" s="2" t="s">
        <v>393</v>
      </c>
      <c r="I675" s="2" t="s">
        <v>21</v>
      </c>
      <c r="J675" s="2" t="s">
        <v>2294</v>
      </c>
      <c r="K675" s="2" t="str">
        <f>"30"</f>
        <v>30</v>
      </c>
      <c r="L675" s="2" t="str">
        <f>"5"</f>
        <v>5</v>
      </c>
      <c r="M675" s="2" t="str">
        <f>"00-024"</f>
        <v>00-024</v>
      </c>
      <c r="N675" s="2" t="str">
        <f>"228251815"</f>
        <v>228251815</v>
      </c>
      <c r="O675" s="2" t="s">
        <v>2295</v>
      </c>
      <c r="P675" s="2" t="s">
        <v>121</v>
      </c>
    </row>
    <row r="676" spans="1:16" x14ac:dyDescent="0.25">
      <c r="A676" s="2">
        <v>69457</v>
      </c>
      <c r="B676" s="2" t="str">
        <f>"000838163"</f>
        <v>000838163</v>
      </c>
      <c r="C676" s="2" t="s">
        <v>16</v>
      </c>
      <c r="D676" s="2" t="s">
        <v>2296</v>
      </c>
      <c r="E676" s="2" t="s">
        <v>18</v>
      </c>
      <c r="F676" s="2" t="s">
        <v>19</v>
      </c>
      <c r="G676" s="2" t="s">
        <v>393</v>
      </c>
      <c r="H676" s="2" t="s">
        <v>393</v>
      </c>
      <c r="I676" s="2" t="s">
        <v>21</v>
      </c>
      <c r="J676" s="2" t="s">
        <v>1750</v>
      </c>
      <c r="K676" s="2" t="str">
        <f>"1a"</f>
        <v>1a</v>
      </c>
      <c r="L676" s="2" t="str">
        <f>""</f>
        <v/>
      </c>
      <c r="M676" s="2" t="str">
        <f>"00-162"</f>
        <v>00-162</v>
      </c>
      <c r="N676" s="2" t="str">
        <f>"226366699"</f>
        <v>226366699</v>
      </c>
      <c r="O676" s="2" t="s">
        <v>2297</v>
      </c>
      <c r="P676" s="2" t="s">
        <v>121</v>
      </c>
    </row>
    <row r="677" spans="1:16" x14ac:dyDescent="0.25">
      <c r="A677" s="2">
        <v>42540</v>
      </c>
      <c r="B677" s="2" t="str">
        <f>"170028742"</f>
        <v>170028742</v>
      </c>
      <c r="C677" s="2" t="s">
        <v>16</v>
      </c>
      <c r="D677" s="2" t="s">
        <v>2298</v>
      </c>
      <c r="E677" s="2" t="s">
        <v>389</v>
      </c>
      <c r="F677" s="2" t="s">
        <v>526</v>
      </c>
      <c r="G677" s="2" t="s">
        <v>526</v>
      </c>
      <c r="H677" s="2" t="s">
        <v>526</v>
      </c>
      <c r="I677" s="2" t="s">
        <v>30</v>
      </c>
      <c r="J677" s="2" t="s">
        <v>2299</v>
      </c>
      <c r="K677" s="2" t="str">
        <f>"30"</f>
        <v>30</v>
      </c>
      <c r="L677" s="2" t="str">
        <f>""</f>
        <v/>
      </c>
      <c r="M677" s="2" t="str">
        <f>"82-300"</f>
        <v>82-300</v>
      </c>
      <c r="N677" s="2" t="str">
        <f>"556258251"</f>
        <v>556258251</v>
      </c>
      <c r="O677" s="2" t="s">
        <v>2300</v>
      </c>
      <c r="P677" s="2" t="s">
        <v>121</v>
      </c>
    </row>
    <row r="678" spans="1:16" x14ac:dyDescent="0.25">
      <c r="A678" s="2">
        <v>6742</v>
      </c>
      <c r="B678" s="2" t="str">
        <f>"000833295"</f>
        <v>000833295</v>
      </c>
      <c r="C678" s="2" t="s">
        <v>16</v>
      </c>
      <c r="D678" s="2" t="s">
        <v>2301</v>
      </c>
      <c r="E678" s="2" t="s">
        <v>97</v>
      </c>
      <c r="F678" s="2" t="s">
        <v>578</v>
      </c>
      <c r="G678" s="2" t="s">
        <v>578</v>
      </c>
      <c r="H678" s="2" t="s">
        <v>578</v>
      </c>
      <c r="I678" s="2" t="s">
        <v>30</v>
      </c>
      <c r="J678" s="2" t="s">
        <v>908</v>
      </c>
      <c r="K678" s="2" t="str">
        <f>"16"</f>
        <v>16</v>
      </c>
      <c r="L678" s="2" t="str">
        <f>""</f>
        <v/>
      </c>
      <c r="M678" s="2" t="str">
        <f>"18-400"</f>
        <v>18-400</v>
      </c>
      <c r="N678" s="2" t="str">
        <f>"862150318"</f>
        <v>862150318</v>
      </c>
      <c r="O678" s="2" t="s">
        <v>2302</v>
      </c>
      <c r="P678" s="2" t="s">
        <v>121</v>
      </c>
    </row>
    <row r="679" spans="1:16" x14ac:dyDescent="0.25">
      <c r="A679" s="2">
        <v>42147</v>
      </c>
      <c r="B679" s="2" t="str">
        <f>"670742470"</f>
        <v>670742470</v>
      </c>
      <c r="C679" s="2" t="s">
        <v>16</v>
      </c>
      <c r="D679" s="2" t="s">
        <v>2303</v>
      </c>
      <c r="E679" s="2" t="s">
        <v>18</v>
      </c>
      <c r="F679" s="2" t="s">
        <v>502</v>
      </c>
      <c r="G679" s="2" t="s">
        <v>502</v>
      </c>
      <c r="H679" s="2" t="s">
        <v>502</v>
      </c>
      <c r="I679" s="2" t="s">
        <v>30</v>
      </c>
      <c r="J679" s="2" t="s">
        <v>2304</v>
      </c>
      <c r="K679" s="2" t="str">
        <f>"19"</f>
        <v>19</v>
      </c>
      <c r="L679" s="2" t="str">
        <f>""</f>
        <v/>
      </c>
      <c r="M679" s="2" t="str">
        <f>"26-600"</f>
        <v>26-600</v>
      </c>
      <c r="N679" s="2" t="str">
        <f>"0483312498"</f>
        <v>0483312498</v>
      </c>
      <c r="O679" s="2" t="s">
        <v>2305</v>
      </c>
      <c r="P679" s="2" t="s">
        <v>121</v>
      </c>
    </row>
    <row r="680" spans="1:16" x14ac:dyDescent="0.25">
      <c r="A680" s="2">
        <v>277818</v>
      </c>
      <c r="B680" s="2" t="str">
        <f>"389545815"</f>
        <v>389545815</v>
      </c>
      <c r="C680" s="2" t="s">
        <v>16</v>
      </c>
      <c r="D680" s="2" t="s">
        <v>2306</v>
      </c>
      <c r="E680" s="2" t="s">
        <v>117</v>
      </c>
      <c r="F680" s="2" t="s">
        <v>1116</v>
      </c>
      <c r="G680" s="2" t="s">
        <v>1117</v>
      </c>
      <c r="H680" s="2" t="s">
        <v>1117</v>
      </c>
      <c r="I680" s="2" t="s">
        <v>30</v>
      </c>
      <c r="J680" s="2" t="s">
        <v>2307</v>
      </c>
      <c r="K680" s="2" t="str">
        <f>"29A"</f>
        <v>29A</v>
      </c>
      <c r="L680" s="2" t="str">
        <f>""</f>
        <v/>
      </c>
      <c r="M680" s="2" t="str">
        <f>"42-400"</f>
        <v>42-400</v>
      </c>
      <c r="N680" s="2" t="str">
        <f>"324941500"</f>
        <v>324941500</v>
      </c>
      <c r="O680" s="2" t="s">
        <v>2308</v>
      </c>
      <c r="P680" s="2" t="s">
        <v>121</v>
      </c>
    </row>
    <row r="681" spans="1:16" x14ac:dyDescent="0.25">
      <c r="A681" s="2">
        <v>131206</v>
      </c>
      <c r="B681" s="2" t="str">
        <f>"365044730"</f>
        <v>365044730</v>
      </c>
      <c r="C681" s="2" t="s">
        <v>16</v>
      </c>
      <c r="D681" s="2" t="s">
        <v>2309</v>
      </c>
      <c r="E681" s="2" t="s">
        <v>18</v>
      </c>
      <c r="F681" s="2" t="s">
        <v>19</v>
      </c>
      <c r="G681" s="2" t="s">
        <v>343</v>
      </c>
      <c r="H681" s="2" t="s">
        <v>343</v>
      </c>
      <c r="I681" s="2" t="s">
        <v>21</v>
      </c>
      <c r="J681" s="2" t="s">
        <v>344</v>
      </c>
      <c r="K681" s="2" t="str">
        <f>"14"</f>
        <v>14</v>
      </c>
      <c r="L681" s="2" t="str">
        <f>""</f>
        <v/>
      </c>
      <c r="M681" s="2" t="str">
        <f>"02-972"</f>
        <v>02-972</v>
      </c>
      <c r="N681" s="2" t="str">
        <f>"228582029"</f>
        <v>228582029</v>
      </c>
      <c r="O681" s="2" t="s">
        <v>2310</v>
      </c>
      <c r="P681" s="2" t="s">
        <v>121</v>
      </c>
    </row>
    <row r="682" spans="1:16" x14ac:dyDescent="0.25">
      <c r="A682" s="2">
        <v>42148</v>
      </c>
      <c r="B682" s="2" t="str">
        <f>"000720786"</f>
        <v>000720786</v>
      </c>
      <c r="C682" s="2" t="s">
        <v>16</v>
      </c>
      <c r="D682" s="2" t="s">
        <v>2311</v>
      </c>
      <c r="E682" s="2" t="s">
        <v>18</v>
      </c>
      <c r="F682" s="2" t="s">
        <v>502</v>
      </c>
      <c r="G682" s="2" t="s">
        <v>502</v>
      </c>
      <c r="H682" s="2" t="s">
        <v>502</v>
      </c>
      <c r="I682" s="2" t="s">
        <v>30</v>
      </c>
      <c r="J682" s="2" t="s">
        <v>2312</v>
      </c>
      <c r="K682" s="2" t="str">
        <f>"3"</f>
        <v>3</v>
      </c>
      <c r="L682" s="2" t="str">
        <f>""</f>
        <v/>
      </c>
      <c r="M682" s="2" t="str">
        <f>"26-600"</f>
        <v>26-600</v>
      </c>
      <c r="N682" s="2" t="str">
        <f>"0483314510"</f>
        <v>0483314510</v>
      </c>
      <c r="O682" s="2" t="s">
        <v>2313</v>
      </c>
      <c r="P682" s="2" t="s">
        <v>121</v>
      </c>
    </row>
    <row r="683" spans="1:16" x14ac:dyDescent="0.25">
      <c r="A683" s="2">
        <v>56041</v>
      </c>
      <c r="B683" s="2" t="str">
        <f>"060712018"</f>
        <v>060712018</v>
      </c>
      <c r="C683" s="2" t="s">
        <v>16</v>
      </c>
      <c r="D683" s="2" t="s">
        <v>2314</v>
      </c>
      <c r="E683" s="2" t="s">
        <v>112</v>
      </c>
      <c r="F683" s="2" t="s">
        <v>113</v>
      </c>
      <c r="G683" s="2" t="s">
        <v>113</v>
      </c>
      <c r="H683" s="2" t="s">
        <v>113</v>
      </c>
      <c r="I683" s="2" t="s">
        <v>30</v>
      </c>
      <c r="J683" s="2" t="s">
        <v>131</v>
      </c>
      <c r="K683" s="2" t="str">
        <f>"5"</f>
        <v>5</v>
      </c>
      <c r="L683" s="2" t="str">
        <f>""</f>
        <v/>
      </c>
      <c r="M683" s="2" t="str">
        <f>"20-022"</f>
        <v>20-022</v>
      </c>
      <c r="N683" s="2" t="str">
        <f>"815328078"</f>
        <v>815328078</v>
      </c>
      <c r="O683" s="2" t="s">
        <v>2315</v>
      </c>
      <c r="P683" s="2" t="s">
        <v>121</v>
      </c>
    </row>
    <row r="684" spans="1:16" hidden="1" x14ac:dyDescent="0.25">
      <c r="A684">
        <v>278551</v>
      </c>
      <c r="B684" t="str">
        <f>"389969627"</f>
        <v>389969627</v>
      </c>
      <c r="C684" t="s">
        <v>16</v>
      </c>
      <c r="D684" t="s">
        <v>2316</v>
      </c>
      <c r="E684" t="s">
        <v>18</v>
      </c>
      <c r="F684" t="s">
        <v>19</v>
      </c>
      <c r="G684" t="s">
        <v>93</v>
      </c>
      <c r="H684" t="s">
        <v>93</v>
      </c>
      <c r="I684" t="s">
        <v>21</v>
      </c>
      <c r="J684" t="s">
        <v>2317</v>
      </c>
      <c r="K684" t="str">
        <f>"25"</f>
        <v>25</v>
      </c>
      <c r="L684" t="str">
        <f>"u6"</f>
        <v>u6</v>
      </c>
      <c r="M684" t="str">
        <f>"01-948"</f>
        <v>01-948</v>
      </c>
      <c r="N684" t="str">
        <f>"608589689"</f>
        <v>608589689</v>
      </c>
      <c r="P684" t="s">
        <v>24</v>
      </c>
    </row>
    <row r="685" spans="1:16" hidden="1" x14ac:dyDescent="0.25">
      <c r="A685">
        <v>278653</v>
      </c>
      <c r="B685" t="str">
        <f>"520018842"</f>
        <v>520018842</v>
      </c>
      <c r="C685" t="s">
        <v>16</v>
      </c>
      <c r="D685" t="s">
        <v>2320</v>
      </c>
      <c r="E685" t="s">
        <v>80</v>
      </c>
      <c r="F685" t="s">
        <v>549</v>
      </c>
      <c r="G685" t="s">
        <v>550</v>
      </c>
      <c r="H685" t="s">
        <v>550</v>
      </c>
      <c r="I685" t="s">
        <v>30</v>
      </c>
      <c r="J685" t="s">
        <v>1794</v>
      </c>
      <c r="K685" t="str">
        <f>"40"</f>
        <v>40</v>
      </c>
      <c r="L685" t="str">
        <f>""</f>
        <v/>
      </c>
      <c r="M685" t="str">
        <f>"84-300"</f>
        <v>84-300</v>
      </c>
      <c r="N685" t="str">
        <f>"660706186"</f>
        <v>660706186</v>
      </c>
      <c r="O685" t="s">
        <v>2321</v>
      </c>
      <c r="P685" t="s">
        <v>24</v>
      </c>
    </row>
    <row r="686" spans="1:16" x14ac:dyDescent="0.25">
      <c r="A686" s="2">
        <v>3529</v>
      </c>
      <c r="B686" s="2" t="str">
        <f>"001058415"</f>
        <v>001058415</v>
      </c>
      <c r="C686" s="2" t="s">
        <v>16</v>
      </c>
      <c r="D686" s="2" t="s">
        <v>2322</v>
      </c>
      <c r="E686" s="2" t="s">
        <v>181</v>
      </c>
      <c r="F686" s="2" t="s">
        <v>2323</v>
      </c>
      <c r="G686" s="2" t="s">
        <v>2324</v>
      </c>
      <c r="H686" s="2" t="s">
        <v>2324</v>
      </c>
      <c r="I686" s="2" t="s">
        <v>30</v>
      </c>
      <c r="J686" s="2" t="s">
        <v>1496</v>
      </c>
      <c r="K686" s="2" t="str">
        <f>"3"</f>
        <v>3</v>
      </c>
      <c r="L686" s="2" t="str">
        <f>""</f>
        <v/>
      </c>
      <c r="M686" s="2" t="str">
        <f>"87-700"</f>
        <v>87-700</v>
      </c>
      <c r="N686" s="2" t="str">
        <f>"542825555"</f>
        <v>542825555</v>
      </c>
      <c r="O686" s="2" t="s">
        <v>2325</v>
      </c>
      <c r="P686" s="2" t="s">
        <v>121</v>
      </c>
    </row>
    <row r="687" spans="1:16" x14ac:dyDescent="0.25">
      <c r="A687" s="2">
        <v>7382</v>
      </c>
      <c r="B687" s="2" t="str">
        <f>"000732269"</f>
        <v>000732269</v>
      </c>
      <c r="C687" s="2" t="s">
        <v>16</v>
      </c>
      <c r="D687" s="2" t="s">
        <v>2326</v>
      </c>
      <c r="E687" s="2" t="s">
        <v>39</v>
      </c>
      <c r="F687" s="2" t="s">
        <v>711</v>
      </c>
      <c r="G687" s="2" t="s">
        <v>712</v>
      </c>
      <c r="H687" s="2" t="s">
        <v>712</v>
      </c>
      <c r="I687" s="2" t="s">
        <v>30</v>
      </c>
      <c r="J687" s="2" t="s">
        <v>2327</v>
      </c>
      <c r="K687" s="2" t="str">
        <f>"4/6"</f>
        <v>4/6</v>
      </c>
      <c r="L687" s="2" t="str">
        <f>""</f>
        <v/>
      </c>
      <c r="M687" s="2" t="str">
        <f>"95-070"</f>
        <v>95-070</v>
      </c>
      <c r="N687" s="2" t="str">
        <f>"505363525"</f>
        <v>505363525</v>
      </c>
      <c r="O687" s="2" t="s">
        <v>2328</v>
      </c>
      <c r="P687" s="2" t="s">
        <v>121</v>
      </c>
    </row>
    <row r="688" spans="1:16" x14ac:dyDescent="0.25">
      <c r="A688" s="2">
        <v>56278</v>
      </c>
      <c r="B688" s="2" t="str">
        <f>"060710918"</f>
        <v>060710918</v>
      </c>
      <c r="C688" s="2" t="s">
        <v>16</v>
      </c>
      <c r="D688" s="2" t="s">
        <v>2329</v>
      </c>
      <c r="E688" s="2" t="s">
        <v>112</v>
      </c>
      <c r="F688" s="2" t="s">
        <v>1316</v>
      </c>
      <c r="G688" s="2" t="s">
        <v>2330</v>
      </c>
      <c r="H688" s="2" t="s">
        <v>2330</v>
      </c>
      <c r="I688" s="2" t="s">
        <v>30</v>
      </c>
      <c r="J688" s="2" t="s">
        <v>453</v>
      </c>
      <c r="K688" s="2" t="str">
        <f>"2b"</f>
        <v>2b</v>
      </c>
      <c r="L688" s="2" t="str">
        <f>""</f>
        <v/>
      </c>
      <c r="M688" s="2" t="str">
        <f>"24-200"</f>
        <v>24-200</v>
      </c>
      <c r="N688" s="2" t="str">
        <f>"815172778"</f>
        <v>815172778</v>
      </c>
      <c r="O688" s="2" t="s">
        <v>2331</v>
      </c>
      <c r="P688" s="2" t="s">
        <v>121</v>
      </c>
    </row>
    <row r="689" spans="1:16" x14ac:dyDescent="0.25">
      <c r="A689" s="2">
        <v>13595</v>
      </c>
      <c r="B689" s="2" t="str">
        <f>"330262411"</f>
        <v>330262411</v>
      </c>
      <c r="C689" s="2" t="s">
        <v>16</v>
      </c>
      <c r="D689" s="2" t="s">
        <v>2332</v>
      </c>
      <c r="E689" s="2" t="s">
        <v>34</v>
      </c>
      <c r="F689" s="2" t="s">
        <v>1971</v>
      </c>
      <c r="G689" s="2" t="s">
        <v>1972</v>
      </c>
      <c r="H689" s="2" t="s">
        <v>1972</v>
      </c>
      <c r="I689" s="2" t="s">
        <v>30</v>
      </c>
      <c r="J689" s="2" t="s">
        <v>402</v>
      </c>
      <c r="K689" s="2" t="str">
        <f>"2"</f>
        <v>2</v>
      </c>
      <c r="L689" s="2" t="str">
        <f>""</f>
        <v/>
      </c>
      <c r="M689" s="2" t="str">
        <f>"78-200"</f>
        <v>78-200</v>
      </c>
      <c r="N689" s="2" t="str">
        <f>"943122596"</f>
        <v>943122596</v>
      </c>
      <c r="O689" s="2" t="s">
        <v>2333</v>
      </c>
      <c r="P689" s="2" t="s">
        <v>121</v>
      </c>
    </row>
    <row r="690" spans="1:16" x14ac:dyDescent="0.25">
      <c r="A690" s="2">
        <v>42532</v>
      </c>
      <c r="B690" s="2" t="str">
        <f>"871654371"</f>
        <v>871654371</v>
      </c>
      <c r="C690" s="2" t="s">
        <v>16</v>
      </c>
      <c r="D690" s="2" t="s">
        <v>2334</v>
      </c>
      <c r="E690" s="2" t="s">
        <v>181</v>
      </c>
      <c r="F690" s="2" t="s">
        <v>2173</v>
      </c>
      <c r="G690" s="2" t="s">
        <v>2174</v>
      </c>
      <c r="H690" s="2" t="s">
        <v>2174</v>
      </c>
      <c r="I690" s="2" t="s">
        <v>30</v>
      </c>
      <c r="J690" s="2" t="s">
        <v>2335</v>
      </c>
      <c r="K690" s="2" t="str">
        <f>"2"</f>
        <v>2</v>
      </c>
      <c r="L690" s="2" t="str">
        <f>""</f>
        <v/>
      </c>
      <c r="M690" s="2" t="str">
        <f>"87-300"</f>
        <v>87-300</v>
      </c>
      <c r="N690" s="2" t="str">
        <f>"564944591"</f>
        <v>564944591</v>
      </c>
      <c r="O690" s="2" t="s">
        <v>2336</v>
      </c>
      <c r="P690" s="2" t="s">
        <v>121</v>
      </c>
    </row>
    <row r="691" spans="1:16" x14ac:dyDescent="0.25">
      <c r="A691" s="2">
        <v>56146</v>
      </c>
      <c r="B691" s="2" t="str">
        <f>"060697170"</f>
        <v>060697170</v>
      </c>
      <c r="C691" s="2" t="s">
        <v>16</v>
      </c>
      <c r="D691" s="2" t="s">
        <v>2337</v>
      </c>
      <c r="E691" s="2" t="s">
        <v>112</v>
      </c>
      <c r="F691" s="2" t="s">
        <v>1316</v>
      </c>
      <c r="G691" s="2" t="s">
        <v>2338</v>
      </c>
      <c r="H691" s="2" t="s">
        <v>2338</v>
      </c>
      <c r="I691" s="2" t="s">
        <v>30</v>
      </c>
      <c r="J691" s="2" t="s">
        <v>57</v>
      </c>
      <c r="K691" s="2" t="str">
        <f>"9"</f>
        <v>9</v>
      </c>
      <c r="L691" s="2" t="str">
        <f>""</f>
        <v/>
      </c>
      <c r="M691" s="2" t="str">
        <f>"23-100"</f>
        <v>23-100</v>
      </c>
      <c r="N691" s="2" t="str">
        <f>"815660232"</f>
        <v>815660232</v>
      </c>
      <c r="O691" s="2" t="s">
        <v>2339</v>
      </c>
      <c r="P691" s="2" t="s">
        <v>121</v>
      </c>
    </row>
    <row r="692" spans="1:16" x14ac:dyDescent="0.25">
      <c r="A692" s="2">
        <v>114597</v>
      </c>
      <c r="B692" s="2" t="str">
        <f>"000745585"</f>
        <v>000745585</v>
      </c>
      <c r="C692" s="2" t="s">
        <v>16</v>
      </c>
      <c r="D692" s="2" t="s">
        <v>2340</v>
      </c>
      <c r="E692" s="2" t="s">
        <v>117</v>
      </c>
      <c r="F692" s="2" t="s">
        <v>177</v>
      </c>
      <c r="G692" s="2" t="s">
        <v>599</v>
      </c>
      <c r="H692" s="2" t="s">
        <v>599</v>
      </c>
      <c r="I692" s="2" t="s">
        <v>30</v>
      </c>
      <c r="J692" s="2" t="s">
        <v>2341</v>
      </c>
      <c r="K692" s="2" t="str">
        <f>"13a"</f>
        <v>13a</v>
      </c>
      <c r="L692" s="2" t="str">
        <f>""</f>
        <v/>
      </c>
      <c r="M692" s="2" t="str">
        <f>"43-400"</f>
        <v>43-400</v>
      </c>
      <c r="N692" s="2" t="str">
        <f>"0338522433"</f>
        <v>0338522433</v>
      </c>
      <c r="O692" s="2" t="s">
        <v>2342</v>
      </c>
      <c r="P692" s="2" t="s">
        <v>121</v>
      </c>
    </row>
    <row r="693" spans="1:16" x14ac:dyDescent="0.25">
      <c r="A693" s="2">
        <v>125742</v>
      </c>
      <c r="B693" s="2" t="str">
        <f>"147474959"</f>
        <v>147474959</v>
      </c>
      <c r="C693" s="2" t="s">
        <v>16</v>
      </c>
      <c r="D693" s="2" t="s">
        <v>2343</v>
      </c>
      <c r="E693" s="2" t="s">
        <v>18</v>
      </c>
      <c r="F693" s="2" t="s">
        <v>744</v>
      </c>
      <c r="G693" s="2" t="s">
        <v>2344</v>
      </c>
      <c r="H693" s="2" t="s">
        <v>2344</v>
      </c>
      <c r="I693" s="2" t="s">
        <v>68</v>
      </c>
      <c r="J693" s="2" t="s">
        <v>1283</v>
      </c>
      <c r="K693" s="2" t="str">
        <f>"23A"</f>
        <v>23A</v>
      </c>
      <c r="L693" s="2" t="str">
        <f>""</f>
        <v/>
      </c>
      <c r="M693" s="2" t="str">
        <f>"07-407"</f>
        <v>07-407</v>
      </c>
      <c r="N693" s="2" t="str">
        <f>"297619042"</f>
        <v>297619042</v>
      </c>
      <c r="O693" s="2" t="s">
        <v>2345</v>
      </c>
      <c r="P693" s="2" t="s">
        <v>121</v>
      </c>
    </row>
    <row r="694" spans="1:16" x14ac:dyDescent="0.25">
      <c r="A694" s="2">
        <v>25084</v>
      </c>
      <c r="B694" s="2" t="str">
        <f>"000908509"</f>
        <v>000908509</v>
      </c>
      <c r="C694" s="2" t="s">
        <v>16</v>
      </c>
      <c r="D694" s="2" t="s">
        <v>2346</v>
      </c>
      <c r="E694" s="2" t="s">
        <v>80</v>
      </c>
      <c r="F694" s="2" t="s">
        <v>534</v>
      </c>
      <c r="G694" s="2" t="s">
        <v>596</v>
      </c>
      <c r="H694" s="2" t="s">
        <v>596</v>
      </c>
      <c r="I694" s="2" t="s">
        <v>30</v>
      </c>
      <c r="J694" s="2" t="s">
        <v>1196</v>
      </c>
      <c r="K694" s="2" t="str">
        <f>"20"</f>
        <v>20</v>
      </c>
      <c r="L694" s="2" t="str">
        <f>""</f>
        <v/>
      </c>
      <c r="M694" s="2" t="str">
        <f>"77-300"</f>
        <v>77-300</v>
      </c>
      <c r="N694" s="2" t="str">
        <f>"0598341133"</f>
        <v>0598341133</v>
      </c>
      <c r="O694" s="2" t="s">
        <v>2347</v>
      </c>
      <c r="P694" s="2" t="s">
        <v>121</v>
      </c>
    </row>
    <row r="695" spans="1:16" x14ac:dyDescent="0.25">
      <c r="A695" s="2">
        <v>11240</v>
      </c>
      <c r="B695" s="2" t="str">
        <f>"050501000"</f>
        <v>050501000</v>
      </c>
      <c r="C695" s="2" t="s">
        <v>16</v>
      </c>
      <c r="D695" s="2" t="s">
        <v>2348</v>
      </c>
      <c r="E695" s="2" t="s">
        <v>97</v>
      </c>
      <c r="F695" s="2" t="s">
        <v>222</v>
      </c>
      <c r="G695" s="2" t="s">
        <v>2349</v>
      </c>
      <c r="H695" s="2" t="s">
        <v>2349</v>
      </c>
      <c r="I695" s="2" t="s">
        <v>30</v>
      </c>
      <c r="J695" s="2" t="s">
        <v>2350</v>
      </c>
      <c r="K695" s="2" t="str">
        <f>"24A"</f>
        <v>24A</v>
      </c>
      <c r="L695" s="2" t="str">
        <f>""</f>
        <v/>
      </c>
      <c r="M695" s="2" t="str">
        <f>"16-200"</f>
        <v>16-200</v>
      </c>
      <c r="N695" s="2" t="str">
        <f>"857121346"</f>
        <v>857121346</v>
      </c>
      <c r="O695" s="2" t="s">
        <v>2351</v>
      </c>
      <c r="P695" s="2" t="s">
        <v>121</v>
      </c>
    </row>
    <row r="696" spans="1:16" x14ac:dyDescent="0.25">
      <c r="A696" s="2">
        <v>23786</v>
      </c>
      <c r="B696" s="2" t="str">
        <f>"000817698"</f>
        <v>000817698</v>
      </c>
      <c r="C696" s="2" t="s">
        <v>16</v>
      </c>
      <c r="D696" s="2" t="s">
        <v>2352</v>
      </c>
      <c r="E696" s="2" t="s">
        <v>117</v>
      </c>
      <c r="F696" s="2" t="s">
        <v>967</v>
      </c>
      <c r="G696" s="2" t="s">
        <v>967</v>
      </c>
      <c r="H696" s="2" t="s">
        <v>967</v>
      </c>
      <c r="I696" s="2" t="s">
        <v>30</v>
      </c>
      <c r="J696" s="2" t="s">
        <v>1114</v>
      </c>
      <c r="K696" s="2" t="str">
        <f>"22"</f>
        <v>22</v>
      </c>
      <c r="L696" s="2" t="str">
        <f>""</f>
        <v/>
      </c>
      <c r="M696" s="2" t="str">
        <f>"41-300"</f>
        <v>41-300</v>
      </c>
      <c r="N696" s="2" t="str">
        <f>"322623811"</f>
        <v>322623811</v>
      </c>
      <c r="O696" s="2" t="s">
        <v>2353</v>
      </c>
      <c r="P696" s="2" t="s">
        <v>121</v>
      </c>
    </row>
    <row r="697" spans="1:16" x14ac:dyDescent="0.25">
      <c r="A697" s="2">
        <v>11068</v>
      </c>
      <c r="B697" s="2" t="str">
        <f>"060707922"</f>
        <v>060707922</v>
      </c>
      <c r="C697" s="2" t="s">
        <v>16</v>
      </c>
      <c r="D697" s="2" t="s">
        <v>2354</v>
      </c>
      <c r="E697" s="2" t="s">
        <v>112</v>
      </c>
      <c r="F697" s="2" t="s">
        <v>2355</v>
      </c>
      <c r="G697" s="2" t="s">
        <v>2356</v>
      </c>
      <c r="H697" s="2" t="s">
        <v>2356</v>
      </c>
      <c r="I697" s="2" t="s">
        <v>30</v>
      </c>
      <c r="J697" s="2" t="s">
        <v>739</v>
      </c>
      <c r="K697" s="2" t="str">
        <f>"8a"</f>
        <v>8a</v>
      </c>
      <c r="L697" s="2" t="str">
        <f>""</f>
        <v/>
      </c>
      <c r="M697" s="2" t="str">
        <f>"08-530"</f>
        <v>08-530</v>
      </c>
      <c r="N697" s="2" t="str">
        <f>"0818830581"</f>
        <v>0818830581</v>
      </c>
      <c r="O697" s="2" t="s">
        <v>2357</v>
      </c>
      <c r="P697" s="2" t="s">
        <v>121</v>
      </c>
    </row>
    <row r="698" spans="1:16" x14ac:dyDescent="0.25">
      <c r="A698" s="2">
        <v>7316</v>
      </c>
      <c r="B698" s="2" t="str">
        <f>"000814530"</f>
        <v>000814530</v>
      </c>
      <c r="C698" s="2" t="s">
        <v>16</v>
      </c>
      <c r="D698" s="2" t="s">
        <v>2359</v>
      </c>
      <c r="E698" s="2" t="s">
        <v>39</v>
      </c>
      <c r="F698" s="2" t="s">
        <v>711</v>
      </c>
      <c r="G698" s="2" t="s">
        <v>2360</v>
      </c>
      <c r="H698" s="2" t="s">
        <v>2360</v>
      </c>
      <c r="I698" s="2" t="s">
        <v>30</v>
      </c>
      <c r="J698" s="2" t="s">
        <v>188</v>
      </c>
      <c r="K698" s="2" t="str">
        <f>"10"</f>
        <v>10</v>
      </c>
      <c r="L698" s="2" t="str">
        <f>""</f>
        <v/>
      </c>
      <c r="M698" s="2" t="str">
        <f>"95-015"</f>
        <v>95-015</v>
      </c>
      <c r="N698" s="2" t="str">
        <f>"427190767"</f>
        <v>427190767</v>
      </c>
      <c r="O698" s="2" t="s">
        <v>2361</v>
      </c>
      <c r="P698" s="2" t="s">
        <v>121</v>
      </c>
    </row>
    <row r="699" spans="1:16" x14ac:dyDescent="0.25">
      <c r="A699" s="2">
        <v>56351</v>
      </c>
      <c r="B699" s="2" t="str">
        <f>"000708259"</f>
        <v>000708259</v>
      </c>
      <c r="C699" s="2" t="s">
        <v>16</v>
      </c>
      <c r="D699" s="2" t="s">
        <v>2363</v>
      </c>
      <c r="E699" s="2" t="s">
        <v>157</v>
      </c>
      <c r="F699" s="2" t="s">
        <v>1155</v>
      </c>
      <c r="G699" s="2" t="s">
        <v>1156</v>
      </c>
      <c r="H699" s="2" t="s">
        <v>1156</v>
      </c>
      <c r="I699" s="2" t="s">
        <v>30</v>
      </c>
      <c r="J699" s="2" t="s">
        <v>2364</v>
      </c>
      <c r="K699" s="2" t="str">
        <f>"4"</f>
        <v>4</v>
      </c>
      <c r="L699" s="2" t="str">
        <f>""</f>
        <v/>
      </c>
      <c r="M699" s="2" t="str">
        <f>"62-200"</f>
        <v>62-200</v>
      </c>
      <c r="N699" s="2" t="str">
        <f>"601435196"</f>
        <v>601435196</v>
      </c>
      <c r="O699" s="2" t="s">
        <v>2365</v>
      </c>
      <c r="P699" s="2" t="s">
        <v>121</v>
      </c>
    </row>
    <row r="700" spans="1:16" x14ac:dyDescent="0.25">
      <c r="A700" s="2">
        <v>7060</v>
      </c>
      <c r="B700" s="2" t="str">
        <f>"810485690"</f>
        <v>810485690</v>
      </c>
      <c r="C700" s="2" t="s">
        <v>16</v>
      </c>
      <c r="D700" s="2" t="s">
        <v>2366</v>
      </c>
      <c r="E700" s="2" t="s">
        <v>34</v>
      </c>
      <c r="F700" s="2" t="s">
        <v>2367</v>
      </c>
      <c r="G700" s="2" t="s">
        <v>2368</v>
      </c>
      <c r="H700" s="2" t="s">
        <v>2368</v>
      </c>
      <c r="I700" s="2" t="s">
        <v>30</v>
      </c>
      <c r="J700" s="2" t="s">
        <v>2369</v>
      </c>
      <c r="K700" s="2" t="str">
        <f>"2"</f>
        <v>2</v>
      </c>
      <c r="L700" s="2" t="str">
        <f>""</f>
        <v/>
      </c>
      <c r="M700" s="2" t="str">
        <f>"72-100"</f>
        <v>72-100</v>
      </c>
      <c r="N700" s="2" t="str">
        <f>"914183119"</f>
        <v>914183119</v>
      </c>
      <c r="O700" s="2" t="s">
        <v>2370</v>
      </c>
      <c r="P700" s="2" t="s">
        <v>121</v>
      </c>
    </row>
    <row r="701" spans="1:16" x14ac:dyDescent="0.25">
      <c r="A701" s="2">
        <v>12238</v>
      </c>
      <c r="B701" s="2" t="str">
        <f>"001082299"</f>
        <v>001082299</v>
      </c>
      <c r="C701" s="2" t="s">
        <v>16</v>
      </c>
      <c r="D701" s="2" t="s">
        <v>2371</v>
      </c>
      <c r="E701" s="2" t="s">
        <v>181</v>
      </c>
      <c r="F701" s="2" t="s">
        <v>2372</v>
      </c>
      <c r="G701" s="2" t="s">
        <v>2373</v>
      </c>
      <c r="H701" s="2" t="s">
        <v>2373</v>
      </c>
      <c r="I701" s="2" t="s">
        <v>30</v>
      </c>
      <c r="J701" s="2" t="s">
        <v>1005</v>
      </c>
      <c r="K701" s="2" t="str">
        <f>"11"</f>
        <v>11</v>
      </c>
      <c r="L701" s="2" t="str">
        <f>""</f>
        <v/>
      </c>
      <c r="M701" s="2" t="str">
        <f>"87-400"</f>
        <v>87-400</v>
      </c>
      <c r="N701" s="2" t="str">
        <f>"566832663"</f>
        <v>566832663</v>
      </c>
      <c r="O701" s="2" t="s">
        <v>2374</v>
      </c>
      <c r="P701" s="2" t="s">
        <v>121</v>
      </c>
    </row>
    <row r="702" spans="1:16" x14ac:dyDescent="0.25">
      <c r="A702" s="2">
        <v>10238</v>
      </c>
      <c r="B702" s="2" t="str">
        <f>"000717287"</f>
        <v>000717287</v>
      </c>
      <c r="C702" s="2" t="s">
        <v>16</v>
      </c>
      <c r="D702" s="2" t="s">
        <v>2375</v>
      </c>
      <c r="E702" s="2" t="s">
        <v>157</v>
      </c>
      <c r="F702" s="2" t="s">
        <v>846</v>
      </c>
      <c r="G702" s="2" t="s">
        <v>847</v>
      </c>
      <c r="H702" s="2" t="s">
        <v>847</v>
      </c>
      <c r="I702" s="2" t="s">
        <v>30</v>
      </c>
      <c r="J702" s="2" t="s">
        <v>2376</v>
      </c>
      <c r="K702" s="2" t="str">
        <f>"11"</f>
        <v>11</v>
      </c>
      <c r="L702" s="2" t="str">
        <f>""</f>
        <v/>
      </c>
      <c r="M702" s="2" t="str">
        <f>"62-065"</f>
        <v>62-065</v>
      </c>
      <c r="N702" s="2" t="str">
        <f>"616770888"</f>
        <v>616770888</v>
      </c>
      <c r="O702" s="2" t="s">
        <v>2377</v>
      </c>
      <c r="P702" s="2" t="s">
        <v>121</v>
      </c>
    </row>
    <row r="703" spans="1:16" x14ac:dyDescent="0.25">
      <c r="A703" s="2">
        <v>15837</v>
      </c>
      <c r="B703" s="2" t="str">
        <f>"650957944"</f>
        <v>650957944</v>
      </c>
      <c r="C703" s="2" t="s">
        <v>16</v>
      </c>
      <c r="D703" s="2" t="s">
        <v>2378</v>
      </c>
      <c r="E703" s="2" t="s">
        <v>101</v>
      </c>
      <c r="F703" s="2" t="s">
        <v>2160</v>
      </c>
      <c r="G703" s="2" t="s">
        <v>2161</v>
      </c>
      <c r="H703" s="2" t="s">
        <v>2161</v>
      </c>
      <c r="I703" s="2" t="s">
        <v>30</v>
      </c>
      <c r="J703" s="2" t="s">
        <v>2379</v>
      </c>
      <c r="K703" s="2" t="str">
        <f>"63"</f>
        <v>63</v>
      </c>
      <c r="L703" s="2" t="str">
        <f>""</f>
        <v/>
      </c>
      <c r="M703" s="2" t="str">
        <f>"37-500"</f>
        <v>37-500</v>
      </c>
      <c r="N703" s="2" t="str">
        <f>"166214178"</f>
        <v>166214178</v>
      </c>
      <c r="O703" s="2" t="s">
        <v>2380</v>
      </c>
      <c r="P703" s="2" t="s">
        <v>121</v>
      </c>
    </row>
    <row r="704" spans="1:16" x14ac:dyDescent="0.25">
      <c r="A704" s="2">
        <v>19449</v>
      </c>
      <c r="B704" s="2" t="str">
        <f>"021973611"</f>
        <v>021973611</v>
      </c>
      <c r="C704" s="2" t="s">
        <v>16</v>
      </c>
      <c r="D704" s="2" t="s">
        <v>2381</v>
      </c>
      <c r="E704" s="2" t="s">
        <v>64</v>
      </c>
      <c r="F704" s="2" t="s">
        <v>2382</v>
      </c>
      <c r="G704" s="2" t="s">
        <v>2383</v>
      </c>
      <c r="H704" s="2" t="s">
        <v>2383</v>
      </c>
      <c r="I704" s="2" t="s">
        <v>30</v>
      </c>
      <c r="J704" s="2" t="s">
        <v>881</v>
      </c>
      <c r="K704" s="2" t="str">
        <f>"11"</f>
        <v>11</v>
      </c>
      <c r="L704" s="2" t="str">
        <f>""</f>
        <v/>
      </c>
      <c r="M704" s="2" t="str">
        <f>"59-400"</f>
        <v>59-400</v>
      </c>
      <c r="N704" s="2" t="str">
        <f>"767290124"</f>
        <v>767290124</v>
      </c>
      <c r="O704" s="2" t="s">
        <v>2384</v>
      </c>
      <c r="P704" s="2" t="s">
        <v>121</v>
      </c>
    </row>
    <row r="705" spans="1:16" x14ac:dyDescent="0.25">
      <c r="A705" s="2">
        <v>49135</v>
      </c>
      <c r="B705" s="2" t="str">
        <f>"311107438"</f>
        <v>311107438</v>
      </c>
      <c r="C705" s="2" t="s">
        <v>16</v>
      </c>
      <c r="D705" s="2" t="s">
        <v>2385</v>
      </c>
      <c r="E705" s="2" t="s">
        <v>157</v>
      </c>
      <c r="F705" s="2" t="s">
        <v>2386</v>
      </c>
      <c r="G705" s="2" t="s">
        <v>2387</v>
      </c>
      <c r="H705" s="2" t="s">
        <v>2387</v>
      </c>
      <c r="I705" s="2" t="s">
        <v>30</v>
      </c>
      <c r="J705" s="2" t="s">
        <v>1124</v>
      </c>
      <c r="K705" s="2" t="str">
        <f>"13"</f>
        <v>13</v>
      </c>
      <c r="L705" s="2" t="str">
        <f>""</f>
        <v/>
      </c>
      <c r="M705" s="2" t="str">
        <f>"62-600"</f>
        <v>62-600</v>
      </c>
      <c r="N705" s="2" t="str">
        <f>"632722789"</f>
        <v>632722789</v>
      </c>
      <c r="O705" s="2" t="s">
        <v>2388</v>
      </c>
      <c r="P705" s="2" t="s">
        <v>121</v>
      </c>
    </row>
    <row r="706" spans="1:16" x14ac:dyDescent="0.25">
      <c r="A706" s="2">
        <v>62072</v>
      </c>
      <c r="B706" s="2" t="str">
        <f>"330037298"</f>
        <v>330037298</v>
      </c>
      <c r="C706" s="2" t="s">
        <v>16</v>
      </c>
      <c r="D706" s="2" t="s">
        <v>2389</v>
      </c>
      <c r="E706" s="2" t="s">
        <v>34</v>
      </c>
      <c r="F706" s="2" t="s">
        <v>531</v>
      </c>
      <c r="G706" s="2" t="s">
        <v>532</v>
      </c>
      <c r="H706" s="2" t="s">
        <v>532</v>
      </c>
      <c r="I706" s="2" t="s">
        <v>30</v>
      </c>
      <c r="J706" s="2" t="s">
        <v>1283</v>
      </c>
      <c r="K706" s="2" t="str">
        <f>"9"</f>
        <v>9</v>
      </c>
      <c r="L706" s="2" t="str">
        <f>""</f>
        <v/>
      </c>
      <c r="M706" s="2" t="str">
        <f>"78-100"</f>
        <v>78-100</v>
      </c>
      <c r="N706" s="2" t="str">
        <f>"943545447"</f>
        <v>943545447</v>
      </c>
      <c r="O706" s="2" t="s">
        <v>2390</v>
      </c>
      <c r="P706" s="2" t="s">
        <v>121</v>
      </c>
    </row>
    <row r="707" spans="1:16" x14ac:dyDescent="0.25">
      <c r="A707" s="2">
        <v>34530</v>
      </c>
      <c r="B707" s="2" t="str">
        <f>"410194478"</f>
        <v>410194478</v>
      </c>
      <c r="C707" s="2" t="s">
        <v>16</v>
      </c>
      <c r="D707" s="2" t="s">
        <v>2391</v>
      </c>
      <c r="E707" s="2" t="s">
        <v>157</v>
      </c>
      <c r="F707" s="2" t="s">
        <v>2392</v>
      </c>
      <c r="G707" s="2" t="s">
        <v>2393</v>
      </c>
      <c r="H707" s="2" t="s">
        <v>2393</v>
      </c>
      <c r="I707" s="2" t="s">
        <v>30</v>
      </c>
      <c r="J707" s="2" t="s">
        <v>817</v>
      </c>
      <c r="K707" s="2" t="str">
        <f>"5"</f>
        <v>5</v>
      </c>
      <c r="L707" s="2" t="str">
        <f>"A"</f>
        <v>A</v>
      </c>
      <c r="M707" s="2" t="str">
        <f>"64-000"</f>
        <v>64-000</v>
      </c>
      <c r="N707" s="2" t="str">
        <f>"655121760"</f>
        <v>655121760</v>
      </c>
      <c r="O707" s="2" t="s">
        <v>2394</v>
      </c>
      <c r="P707" s="2" t="s">
        <v>121</v>
      </c>
    </row>
    <row r="708" spans="1:16" x14ac:dyDescent="0.25">
      <c r="A708" s="2">
        <v>59056</v>
      </c>
      <c r="B708" s="2" t="str">
        <f>"000957873"</f>
        <v>000957873</v>
      </c>
      <c r="C708" s="2" t="s">
        <v>16</v>
      </c>
      <c r="D708" s="2" t="s">
        <v>2395</v>
      </c>
      <c r="E708" s="2" t="s">
        <v>80</v>
      </c>
      <c r="F708" s="2" t="s">
        <v>588</v>
      </c>
      <c r="G708" s="2" t="s">
        <v>589</v>
      </c>
      <c r="H708" s="2" t="s">
        <v>589</v>
      </c>
      <c r="I708" s="2" t="s">
        <v>30</v>
      </c>
      <c r="J708" s="2" t="s">
        <v>2286</v>
      </c>
      <c r="K708" s="2" t="str">
        <f>"1"</f>
        <v>1</v>
      </c>
      <c r="L708" s="2" t="str">
        <f>""</f>
        <v/>
      </c>
      <c r="M708" s="2" t="str">
        <f>"83-400"</f>
        <v>83-400</v>
      </c>
      <c r="N708" s="2" t="str">
        <f>"586864861"</f>
        <v>586864861</v>
      </c>
      <c r="O708" s="2" t="s">
        <v>2396</v>
      </c>
      <c r="P708" s="2" t="s">
        <v>121</v>
      </c>
    </row>
    <row r="709" spans="1:16" x14ac:dyDescent="0.25">
      <c r="A709" s="2">
        <v>53473</v>
      </c>
      <c r="B709" s="2" t="str">
        <f>"000742960"</f>
        <v>000742960</v>
      </c>
      <c r="C709" s="2" t="s">
        <v>16</v>
      </c>
      <c r="D709" s="2" t="s">
        <v>2397</v>
      </c>
      <c r="E709" s="2" t="s">
        <v>416</v>
      </c>
      <c r="F709" s="2" t="s">
        <v>2398</v>
      </c>
      <c r="G709" s="2" t="s">
        <v>2399</v>
      </c>
      <c r="H709" s="2" t="s">
        <v>2399</v>
      </c>
      <c r="I709" s="2" t="s">
        <v>30</v>
      </c>
      <c r="J709" s="2" t="s">
        <v>2400</v>
      </c>
      <c r="K709" s="2" t="str">
        <f>"1"</f>
        <v>1</v>
      </c>
      <c r="L709" s="2" t="str">
        <f>""</f>
        <v/>
      </c>
      <c r="M709" s="2" t="str">
        <f>"47-303"</f>
        <v>47-303</v>
      </c>
      <c r="N709" s="2" t="str">
        <f>"774661263"</f>
        <v>774661263</v>
      </c>
      <c r="O709" s="2" t="s">
        <v>2401</v>
      </c>
      <c r="P709" s="2" t="s">
        <v>121</v>
      </c>
    </row>
    <row r="710" spans="1:16" x14ac:dyDescent="0.25">
      <c r="A710" s="2">
        <v>44366</v>
      </c>
      <c r="B710" s="2" t="str">
        <f>"000705887"</f>
        <v>000705887</v>
      </c>
      <c r="C710" s="2" t="s">
        <v>16</v>
      </c>
      <c r="D710" s="2" t="s">
        <v>2402</v>
      </c>
      <c r="E710" s="2" t="s">
        <v>240</v>
      </c>
      <c r="F710" s="2" t="s">
        <v>2403</v>
      </c>
      <c r="G710" s="2" t="s">
        <v>2404</v>
      </c>
      <c r="H710" s="2" t="s">
        <v>2404</v>
      </c>
      <c r="I710" s="2" t="s">
        <v>30</v>
      </c>
      <c r="J710" s="2" t="s">
        <v>2405</v>
      </c>
      <c r="K710" s="2" t="str">
        <f>"10B"</f>
        <v>10B</v>
      </c>
      <c r="L710" s="2" t="str">
        <f>""</f>
        <v/>
      </c>
      <c r="M710" s="2" t="str">
        <f>"66-600"</f>
        <v>66-600</v>
      </c>
      <c r="N710" s="2" t="str">
        <f>"683830260"</f>
        <v>683830260</v>
      </c>
      <c r="O710" s="2" t="s">
        <v>2406</v>
      </c>
      <c r="P710" s="2" t="s">
        <v>121</v>
      </c>
    </row>
    <row r="711" spans="1:16" x14ac:dyDescent="0.25">
      <c r="A711" s="2">
        <v>20275</v>
      </c>
      <c r="B711" s="2" t="str">
        <f>"000734943"</f>
        <v>000734943</v>
      </c>
      <c r="C711" s="2" t="s">
        <v>16</v>
      </c>
      <c r="D711" s="2" t="s">
        <v>2407</v>
      </c>
      <c r="E711" s="2" t="s">
        <v>39</v>
      </c>
      <c r="F711" s="2" t="s">
        <v>466</v>
      </c>
      <c r="G711" s="2" t="s">
        <v>2408</v>
      </c>
      <c r="H711" s="2" t="s">
        <v>2408</v>
      </c>
      <c r="I711" s="2" t="s">
        <v>30</v>
      </c>
      <c r="J711" s="2" t="s">
        <v>2409</v>
      </c>
      <c r="K711" s="2" t="str">
        <f>"33"</f>
        <v>33</v>
      </c>
      <c r="L711" s="2" t="str">
        <f>""</f>
        <v/>
      </c>
      <c r="M711" s="2" t="str">
        <f>"98-100"</f>
        <v>98-100</v>
      </c>
      <c r="N711" s="2" t="str">
        <f>"436752046"</f>
        <v>436752046</v>
      </c>
      <c r="O711" s="2" t="s">
        <v>2410</v>
      </c>
      <c r="P711" s="2" t="s">
        <v>121</v>
      </c>
    </row>
    <row r="712" spans="1:16" x14ac:dyDescent="0.25">
      <c r="A712" s="2">
        <v>17548</v>
      </c>
      <c r="B712" s="2" t="str">
        <f>"000908484"</f>
        <v>000908484</v>
      </c>
      <c r="C712" s="2" t="s">
        <v>16</v>
      </c>
      <c r="D712" s="2" t="s">
        <v>2411</v>
      </c>
      <c r="E712" s="2" t="s">
        <v>80</v>
      </c>
      <c r="F712" s="2" t="s">
        <v>549</v>
      </c>
      <c r="G712" s="2" t="s">
        <v>550</v>
      </c>
      <c r="H712" s="2" t="s">
        <v>550</v>
      </c>
      <c r="I712" s="2" t="s">
        <v>30</v>
      </c>
      <c r="J712" s="2" t="s">
        <v>2412</v>
      </c>
      <c r="K712" s="2" t="str">
        <f>"15a"</f>
        <v>15a</v>
      </c>
      <c r="L712" s="2" t="str">
        <f>""</f>
        <v/>
      </c>
      <c r="M712" s="2" t="str">
        <f>"84-300"</f>
        <v>84-300</v>
      </c>
      <c r="N712" s="2" t="str">
        <f>"0598621834"</f>
        <v>0598621834</v>
      </c>
      <c r="O712" s="2" t="s">
        <v>2413</v>
      </c>
      <c r="P712" s="2" t="s">
        <v>121</v>
      </c>
    </row>
    <row r="713" spans="1:16" x14ac:dyDescent="0.25">
      <c r="A713" s="2">
        <v>23172</v>
      </c>
      <c r="B713" s="2" t="str">
        <f>"000837672"</f>
        <v>000837672</v>
      </c>
      <c r="C713" s="2" t="s">
        <v>16</v>
      </c>
      <c r="D713" s="2" t="s">
        <v>2414</v>
      </c>
      <c r="E713" s="2" t="s">
        <v>18</v>
      </c>
      <c r="F713" s="2" t="s">
        <v>373</v>
      </c>
      <c r="G713" s="2" t="s">
        <v>1570</v>
      </c>
      <c r="H713" s="2" t="s">
        <v>1570</v>
      </c>
      <c r="I713" s="2" t="s">
        <v>30</v>
      </c>
      <c r="J713" s="2" t="s">
        <v>1989</v>
      </c>
      <c r="K713" s="2" t="str">
        <f>"69"</f>
        <v>69</v>
      </c>
      <c r="L713" s="2" t="str">
        <f>""</f>
        <v/>
      </c>
      <c r="M713" s="2" t="str">
        <f>"05-120"</f>
        <v>05-120</v>
      </c>
      <c r="N713" s="2" t="str">
        <f>"227743814"</f>
        <v>227743814</v>
      </c>
      <c r="O713" s="2" t="s">
        <v>2415</v>
      </c>
      <c r="P713" s="2" t="s">
        <v>121</v>
      </c>
    </row>
    <row r="714" spans="1:16" x14ac:dyDescent="0.25">
      <c r="A714" s="2">
        <v>53899</v>
      </c>
      <c r="B714" s="2" t="str">
        <f>"370998428"</f>
        <v>370998428</v>
      </c>
      <c r="C714" s="2" t="s">
        <v>16</v>
      </c>
      <c r="D714" s="2" t="s">
        <v>2416</v>
      </c>
      <c r="E714" s="2" t="s">
        <v>101</v>
      </c>
      <c r="F714" s="2" t="s">
        <v>2417</v>
      </c>
      <c r="G714" s="2" t="s">
        <v>2418</v>
      </c>
      <c r="H714" s="2" t="s">
        <v>2418</v>
      </c>
      <c r="I714" s="2" t="s">
        <v>30</v>
      </c>
      <c r="J714" s="2" t="s">
        <v>1532</v>
      </c>
      <c r="K714" s="2" t="str">
        <f>"1"</f>
        <v>1</v>
      </c>
      <c r="L714" s="2" t="str">
        <f>""</f>
        <v/>
      </c>
      <c r="M714" s="2" t="str">
        <f>"38-600"</f>
        <v>38-600</v>
      </c>
      <c r="N714" s="2" t="str">
        <f>"134698145"</f>
        <v>134698145</v>
      </c>
      <c r="O714" s="2" t="s">
        <v>2419</v>
      </c>
      <c r="P714" s="2" t="s">
        <v>121</v>
      </c>
    </row>
    <row r="715" spans="1:16" x14ac:dyDescent="0.25">
      <c r="A715" s="2">
        <v>38982</v>
      </c>
      <c r="B715" s="2" t="str">
        <f>"001030180"</f>
        <v>001030180</v>
      </c>
      <c r="C715" s="2" t="s">
        <v>16</v>
      </c>
      <c r="D715" s="2" t="s">
        <v>2420</v>
      </c>
      <c r="E715" s="2" t="s">
        <v>101</v>
      </c>
      <c r="F715" s="2" t="s">
        <v>2421</v>
      </c>
      <c r="G715" s="2" t="s">
        <v>2422</v>
      </c>
      <c r="H715" s="2" t="s">
        <v>2422</v>
      </c>
      <c r="I715" s="2" t="s">
        <v>30</v>
      </c>
      <c r="J715" s="2" t="s">
        <v>2423</v>
      </c>
      <c r="K715" s="2" t="str">
        <f>"8"</f>
        <v>8</v>
      </c>
      <c r="L715" s="2" t="str">
        <f>""</f>
        <v/>
      </c>
      <c r="M715" s="2" t="str">
        <f>"37-300"</f>
        <v>37-300</v>
      </c>
      <c r="N715" s="2" t="str">
        <f>"172420799"</f>
        <v>172420799</v>
      </c>
      <c r="O715" s="2" t="s">
        <v>2424</v>
      </c>
      <c r="P715" s="2" t="s">
        <v>121</v>
      </c>
    </row>
    <row r="716" spans="1:16" x14ac:dyDescent="0.25">
      <c r="A716" s="2">
        <v>24619</v>
      </c>
      <c r="B716" s="2" t="str">
        <f>"000703227"</f>
        <v>000703227</v>
      </c>
      <c r="C716" s="2" t="s">
        <v>16</v>
      </c>
      <c r="D716" s="2" t="s">
        <v>2425</v>
      </c>
      <c r="E716" s="2" t="s">
        <v>34</v>
      </c>
      <c r="F716" s="2" t="s">
        <v>2426</v>
      </c>
      <c r="G716" s="2" t="s">
        <v>2427</v>
      </c>
      <c r="H716" s="2" t="s">
        <v>2427</v>
      </c>
      <c r="I716" s="2" t="s">
        <v>30</v>
      </c>
      <c r="J716" s="2" t="s">
        <v>2428</v>
      </c>
      <c r="K716" s="2" t="str">
        <f>"42"</f>
        <v>42</v>
      </c>
      <c r="L716" s="2" t="str">
        <f>""</f>
        <v/>
      </c>
      <c r="M716" s="2" t="str">
        <f>"73-150"</f>
        <v>73-150</v>
      </c>
      <c r="N716" s="2" t="str">
        <f>"913974162"</f>
        <v>913974162</v>
      </c>
      <c r="O716" s="2" t="s">
        <v>2429</v>
      </c>
      <c r="P716" s="2" t="s">
        <v>121</v>
      </c>
    </row>
    <row r="717" spans="1:16" x14ac:dyDescent="0.25">
      <c r="A717" s="2">
        <v>13873</v>
      </c>
      <c r="B717" s="2" t="str">
        <f>"000714538"</f>
        <v>000714538</v>
      </c>
      <c r="C717" s="2" t="s">
        <v>16</v>
      </c>
      <c r="D717" s="2" t="s">
        <v>2430</v>
      </c>
      <c r="E717" s="2" t="s">
        <v>112</v>
      </c>
      <c r="F717" s="2" t="s">
        <v>646</v>
      </c>
      <c r="G717" s="2" t="s">
        <v>647</v>
      </c>
      <c r="H717" s="2" t="s">
        <v>647</v>
      </c>
      <c r="I717" s="2" t="s">
        <v>30</v>
      </c>
      <c r="J717" s="2" t="s">
        <v>2431</v>
      </c>
      <c r="K717" s="2" t="str">
        <f>"7"</f>
        <v>7</v>
      </c>
      <c r="L717" s="2" t="str">
        <f>""</f>
        <v/>
      </c>
      <c r="M717" s="2" t="str">
        <f>"21-100"</f>
        <v>21-100</v>
      </c>
      <c r="N717" s="2" t="str">
        <f>"818552268"</f>
        <v>818552268</v>
      </c>
      <c r="O717" s="2" t="s">
        <v>2432</v>
      </c>
      <c r="P717" s="2" t="s">
        <v>121</v>
      </c>
    </row>
    <row r="718" spans="1:16" x14ac:dyDescent="0.25">
      <c r="A718" s="2">
        <v>68609</v>
      </c>
      <c r="B718" s="2" t="str">
        <f>"001388992"</f>
        <v>001388992</v>
      </c>
      <c r="C718" s="2" t="s">
        <v>16</v>
      </c>
      <c r="D718" s="2" t="s">
        <v>2433</v>
      </c>
      <c r="E718" s="2" t="s">
        <v>181</v>
      </c>
      <c r="F718" s="2" t="s">
        <v>1421</v>
      </c>
      <c r="G718" s="2" t="s">
        <v>2434</v>
      </c>
      <c r="H718" s="2" t="s">
        <v>2434</v>
      </c>
      <c r="I718" s="2" t="s">
        <v>30</v>
      </c>
      <c r="J718" s="2" t="s">
        <v>628</v>
      </c>
      <c r="K718" s="2" t="str">
        <f>"18"</f>
        <v>18</v>
      </c>
      <c r="L718" s="2" t="str">
        <f>""</f>
        <v/>
      </c>
      <c r="M718" s="2" t="str">
        <f>"87-840"</f>
        <v>87-840</v>
      </c>
      <c r="N718" s="2" t="str">
        <f>"542843155"</f>
        <v>542843155</v>
      </c>
      <c r="O718" s="2" t="s">
        <v>2435</v>
      </c>
      <c r="P718" s="2" t="s">
        <v>121</v>
      </c>
    </row>
    <row r="719" spans="1:16" x14ac:dyDescent="0.25">
      <c r="A719" s="2">
        <v>64310</v>
      </c>
      <c r="B719" s="2" t="str">
        <f>"001388970"</f>
        <v>001388970</v>
      </c>
      <c r="C719" s="2" t="s">
        <v>16</v>
      </c>
      <c r="D719" s="2" t="s">
        <v>2436</v>
      </c>
      <c r="E719" s="2" t="s">
        <v>181</v>
      </c>
      <c r="F719" s="2" t="s">
        <v>1421</v>
      </c>
      <c r="G719" s="2" t="s">
        <v>2437</v>
      </c>
      <c r="H719" s="2" t="s">
        <v>2437</v>
      </c>
      <c r="I719" s="2" t="s">
        <v>30</v>
      </c>
      <c r="J719" s="2" t="s">
        <v>2438</v>
      </c>
      <c r="K719" s="2" t="str">
        <f>"4"</f>
        <v>4</v>
      </c>
      <c r="L719" s="2" t="str">
        <f>""</f>
        <v/>
      </c>
      <c r="M719" s="2" t="str">
        <f>"87-890"</f>
        <v>87-890</v>
      </c>
      <c r="N719" s="2" t="str">
        <f>"542862573"</f>
        <v>542862573</v>
      </c>
      <c r="O719" s="2" t="s">
        <v>2439</v>
      </c>
      <c r="P719" s="2" t="s">
        <v>121</v>
      </c>
    </row>
    <row r="720" spans="1:16" x14ac:dyDescent="0.25">
      <c r="A720" s="2">
        <v>17135</v>
      </c>
      <c r="B720" s="2" t="str">
        <f>"000694445"</f>
        <v>000694445</v>
      </c>
      <c r="C720" s="2" t="s">
        <v>16</v>
      </c>
      <c r="D720" s="2" t="s">
        <v>2440</v>
      </c>
      <c r="E720" s="2" t="s">
        <v>18</v>
      </c>
      <c r="F720" s="2" t="s">
        <v>1698</v>
      </c>
      <c r="G720" s="2" t="s">
        <v>2441</v>
      </c>
      <c r="H720" s="2" t="s">
        <v>2441</v>
      </c>
      <c r="I720" s="2" t="s">
        <v>30</v>
      </c>
      <c r="J720" s="2" t="s">
        <v>2442</v>
      </c>
      <c r="K720" s="2" t="str">
        <f>"3"</f>
        <v>3</v>
      </c>
      <c r="L720" s="2" t="str">
        <f>""</f>
        <v/>
      </c>
      <c r="M720" s="2" t="str">
        <f>"06-200"</f>
        <v>06-200</v>
      </c>
      <c r="N720" s="2" t="str">
        <f>"297171501"</f>
        <v>297171501</v>
      </c>
      <c r="O720" s="2" t="s">
        <v>2443</v>
      </c>
      <c r="P720" s="2" t="s">
        <v>121</v>
      </c>
    </row>
    <row r="721" spans="1:16" x14ac:dyDescent="0.25">
      <c r="A721" s="2">
        <v>34594</v>
      </c>
      <c r="B721" s="2" t="str">
        <f>"000745600"</f>
        <v>000745600</v>
      </c>
      <c r="C721" s="2" t="s">
        <v>16</v>
      </c>
      <c r="D721" s="2" t="s">
        <v>2444</v>
      </c>
      <c r="E721" s="2" t="s">
        <v>27</v>
      </c>
      <c r="F721" s="2" t="s">
        <v>408</v>
      </c>
      <c r="G721" s="2" t="s">
        <v>2445</v>
      </c>
      <c r="H721" s="2" t="s">
        <v>2445</v>
      </c>
      <c r="I721" s="2" t="s">
        <v>30</v>
      </c>
      <c r="J721" s="2" t="s">
        <v>2038</v>
      </c>
      <c r="K721" s="2" t="str">
        <f>"8"</f>
        <v>8</v>
      </c>
      <c r="L721" s="2" t="str">
        <f>""</f>
        <v/>
      </c>
      <c r="M721" s="2" t="str">
        <f>"34-220"</f>
        <v>34-220</v>
      </c>
      <c r="N721" s="2" t="str">
        <f>"338742606"</f>
        <v>338742606</v>
      </c>
      <c r="O721" s="2" t="s">
        <v>2446</v>
      </c>
      <c r="P721" s="2" t="s">
        <v>121</v>
      </c>
    </row>
    <row r="722" spans="1:16" x14ac:dyDescent="0.25">
      <c r="A722" s="2">
        <v>90938</v>
      </c>
      <c r="B722" s="2" t="str">
        <f>"000711899"</f>
        <v>000711899</v>
      </c>
      <c r="C722" s="2" t="s">
        <v>16</v>
      </c>
      <c r="D722" s="2" t="s">
        <v>2447</v>
      </c>
      <c r="E722" s="2" t="s">
        <v>240</v>
      </c>
      <c r="F722" s="2" t="s">
        <v>2448</v>
      </c>
      <c r="G722" s="2" t="s">
        <v>2449</v>
      </c>
      <c r="H722" s="2" t="s">
        <v>2449</v>
      </c>
      <c r="I722" s="2" t="s">
        <v>30</v>
      </c>
      <c r="J722" s="2" t="s">
        <v>2450</v>
      </c>
      <c r="K722" s="2" t="str">
        <f>"16"</f>
        <v>16</v>
      </c>
      <c r="L722" s="2" t="str">
        <f>""</f>
        <v/>
      </c>
      <c r="M722" s="2" t="str">
        <f>"66-300"</f>
        <v>66-300</v>
      </c>
      <c r="N722" s="2" t="str">
        <f>"504057487"</f>
        <v>504057487</v>
      </c>
      <c r="O722" s="2" t="s">
        <v>2451</v>
      </c>
      <c r="P722" s="2" t="s">
        <v>121</v>
      </c>
    </row>
    <row r="723" spans="1:16" x14ac:dyDescent="0.25">
      <c r="A723" s="2">
        <v>29609</v>
      </c>
      <c r="B723" s="2" t="str">
        <f>"000726837"</f>
        <v>000726837</v>
      </c>
      <c r="C723" s="2" t="s">
        <v>16</v>
      </c>
      <c r="D723" s="2" t="s">
        <v>2452</v>
      </c>
      <c r="E723" s="2" t="s">
        <v>117</v>
      </c>
      <c r="F723" s="2" t="s">
        <v>872</v>
      </c>
      <c r="G723" s="2" t="s">
        <v>1371</v>
      </c>
      <c r="H723" s="2" t="s">
        <v>1371</v>
      </c>
      <c r="I723" s="2" t="s">
        <v>30</v>
      </c>
      <c r="J723" s="2" t="s">
        <v>1696</v>
      </c>
      <c r="K723" s="2" t="str">
        <f>"4"</f>
        <v>4</v>
      </c>
      <c r="L723" s="2" t="str">
        <f>""</f>
        <v/>
      </c>
      <c r="M723" s="2" t="str">
        <f>"43-190"</f>
        <v>43-190</v>
      </c>
      <c r="N723" s="2" t="str">
        <f>"322262071"</f>
        <v>322262071</v>
      </c>
      <c r="O723" s="2" t="s">
        <v>2453</v>
      </c>
      <c r="P723" s="2" t="s">
        <v>121</v>
      </c>
    </row>
    <row r="724" spans="1:16" x14ac:dyDescent="0.25">
      <c r="A724" s="2">
        <v>48361</v>
      </c>
      <c r="B724" s="2" t="str">
        <f>"000705700"</f>
        <v>000705700</v>
      </c>
      <c r="C724" s="2" t="s">
        <v>16</v>
      </c>
      <c r="D724" s="2" t="s">
        <v>2454</v>
      </c>
      <c r="E724" s="2" t="s">
        <v>27</v>
      </c>
      <c r="F724" s="2" t="s">
        <v>729</v>
      </c>
      <c r="G724" s="2" t="s">
        <v>730</v>
      </c>
      <c r="H724" s="2" t="s">
        <v>730</v>
      </c>
      <c r="I724" s="2" t="s">
        <v>30</v>
      </c>
      <c r="J724" s="2" t="s">
        <v>2455</v>
      </c>
      <c r="K724" s="2" t="str">
        <f>"2"</f>
        <v>2</v>
      </c>
      <c r="L724" s="2" t="str">
        <f>""</f>
        <v/>
      </c>
      <c r="M724" s="2" t="str">
        <f>"32-400"</f>
        <v>32-400</v>
      </c>
      <c r="N724" s="2" t="str">
        <f>"122720589"</f>
        <v>122720589</v>
      </c>
      <c r="O724" s="2" t="s">
        <v>2456</v>
      </c>
      <c r="P724" s="2" t="s">
        <v>121</v>
      </c>
    </row>
    <row r="725" spans="1:16" x14ac:dyDescent="0.25">
      <c r="A725" s="2">
        <v>55343</v>
      </c>
      <c r="B725" s="2" t="str">
        <f>"001222100"</f>
        <v>001222100</v>
      </c>
      <c r="C725" s="2" t="s">
        <v>16</v>
      </c>
      <c r="D725" s="2" t="s">
        <v>2457</v>
      </c>
      <c r="E725" s="2" t="s">
        <v>18</v>
      </c>
      <c r="F725" s="2" t="s">
        <v>744</v>
      </c>
      <c r="G725" s="2" t="s">
        <v>2458</v>
      </c>
      <c r="H725" s="2" t="s">
        <v>2458</v>
      </c>
      <c r="I725" s="2" t="s">
        <v>30</v>
      </c>
      <c r="J725" s="2" t="s">
        <v>2459</v>
      </c>
      <c r="K725" s="2" t="str">
        <f>"5"</f>
        <v>5</v>
      </c>
      <c r="L725" s="2" t="str">
        <f>""</f>
        <v/>
      </c>
      <c r="M725" s="2" t="str">
        <f>"07-430"</f>
        <v>07-430</v>
      </c>
      <c r="N725" s="2" t="str">
        <f>"297721132"</f>
        <v>297721132</v>
      </c>
      <c r="O725" s="2" t="s">
        <v>2460</v>
      </c>
      <c r="P725" s="2" t="s">
        <v>121</v>
      </c>
    </row>
    <row r="726" spans="1:16" x14ac:dyDescent="0.25">
      <c r="A726" s="2">
        <v>86090</v>
      </c>
      <c r="B726" s="2" t="str">
        <f>"000742983"</f>
        <v>000742983</v>
      </c>
      <c r="C726" s="2" t="s">
        <v>16</v>
      </c>
      <c r="D726" s="2" t="s">
        <v>2461</v>
      </c>
      <c r="E726" s="2" t="s">
        <v>416</v>
      </c>
      <c r="F726" s="2" t="s">
        <v>2462</v>
      </c>
      <c r="G726" s="2" t="s">
        <v>2463</v>
      </c>
      <c r="H726" s="2" t="s">
        <v>2463</v>
      </c>
      <c r="I726" s="2" t="s">
        <v>30</v>
      </c>
      <c r="J726" s="2" t="s">
        <v>138</v>
      </c>
      <c r="K726" s="2" t="str">
        <f>"14"</f>
        <v>14</v>
      </c>
      <c r="L726" s="2" t="str">
        <f>""</f>
        <v/>
      </c>
      <c r="M726" s="2" t="str">
        <f>"46-100"</f>
        <v>46-100</v>
      </c>
      <c r="N726" s="2" t="str">
        <f>"0774101267"</f>
        <v>0774101267</v>
      </c>
      <c r="O726" s="2" t="s">
        <v>2464</v>
      </c>
      <c r="P726" s="2" t="s">
        <v>121</v>
      </c>
    </row>
    <row r="727" spans="1:16" x14ac:dyDescent="0.25">
      <c r="A727" s="2">
        <v>109634</v>
      </c>
      <c r="B727" s="2" t="str">
        <f>"001261760"</f>
        <v>001261760</v>
      </c>
      <c r="C727" s="2" t="s">
        <v>16</v>
      </c>
      <c r="D727" s="2" t="s">
        <v>2465</v>
      </c>
      <c r="E727" s="2" t="s">
        <v>101</v>
      </c>
      <c r="F727" s="2" t="s">
        <v>2466</v>
      </c>
      <c r="G727" s="2" t="s">
        <v>2467</v>
      </c>
      <c r="H727" s="2" t="s">
        <v>2467</v>
      </c>
      <c r="I727" s="2" t="s">
        <v>30</v>
      </c>
      <c r="J727" s="2" t="s">
        <v>2468</v>
      </c>
      <c r="K727" s="2" t="str">
        <f>"7"</f>
        <v>7</v>
      </c>
      <c r="L727" s="2" t="str">
        <f>""</f>
        <v/>
      </c>
      <c r="M727" s="2" t="str">
        <f>"39-460"</f>
        <v>39-460</v>
      </c>
      <c r="N727" s="2" t="str">
        <f>"158462845"</f>
        <v>158462845</v>
      </c>
      <c r="O727" s="2" t="s">
        <v>2469</v>
      </c>
      <c r="P727" s="2" t="s">
        <v>121</v>
      </c>
    </row>
    <row r="728" spans="1:16" x14ac:dyDescent="0.25">
      <c r="A728" s="2">
        <v>4768</v>
      </c>
      <c r="B728" s="2" t="str">
        <f>"510842939"</f>
        <v>510842939</v>
      </c>
      <c r="C728" s="2" t="s">
        <v>16</v>
      </c>
      <c r="D728" s="2" t="s">
        <v>2471</v>
      </c>
      <c r="E728" s="2" t="s">
        <v>389</v>
      </c>
      <c r="F728" s="2" t="s">
        <v>749</v>
      </c>
      <c r="G728" s="2" t="s">
        <v>750</v>
      </c>
      <c r="H728" s="2" t="s">
        <v>750</v>
      </c>
      <c r="I728" s="2" t="s">
        <v>30</v>
      </c>
      <c r="J728" s="2" t="s">
        <v>402</v>
      </c>
      <c r="K728" s="2" t="str">
        <f>"8"</f>
        <v>8</v>
      </c>
      <c r="L728" s="2" t="str">
        <f>"4"</f>
        <v>4</v>
      </c>
      <c r="M728" s="2" t="str">
        <f>"11-130"</f>
        <v>11-130</v>
      </c>
      <c r="N728" s="2" t="str">
        <f>"552421392"</f>
        <v>552421392</v>
      </c>
      <c r="O728" s="2" t="s">
        <v>2472</v>
      </c>
      <c r="P728" s="2" t="s">
        <v>121</v>
      </c>
    </row>
    <row r="729" spans="1:16" x14ac:dyDescent="0.25">
      <c r="A729" s="2">
        <v>7336</v>
      </c>
      <c r="B729" s="2" t="str">
        <f>"472404648"</f>
        <v>472404648</v>
      </c>
      <c r="C729" s="2" t="s">
        <v>16</v>
      </c>
      <c r="D729" s="2" t="s">
        <v>2474</v>
      </c>
      <c r="E729" s="2" t="s">
        <v>39</v>
      </c>
      <c r="F729" s="2" t="s">
        <v>711</v>
      </c>
      <c r="G729" s="2" t="s">
        <v>2475</v>
      </c>
      <c r="H729" s="2" t="s">
        <v>2475</v>
      </c>
      <c r="I729" s="2" t="s">
        <v>30</v>
      </c>
      <c r="J729" s="2" t="s">
        <v>2476</v>
      </c>
      <c r="K729" s="2" t="str">
        <f>"1"</f>
        <v>1</v>
      </c>
      <c r="L729" s="2" t="str">
        <f>""</f>
        <v/>
      </c>
      <c r="M729" s="2" t="str">
        <f>"95-035"</f>
        <v>95-035</v>
      </c>
      <c r="N729" s="2" t="str">
        <f>"427189354"</f>
        <v>427189354</v>
      </c>
      <c r="O729" s="2" t="s">
        <v>2477</v>
      </c>
      <c r="P729" s="2" t="s">
        <v>121</v>
      </c>
    </row>
    <row r="730" spans="1:16" x14ac:dyDescent="0.25">
      <c r="A730" s="2">
        <v>113494</v>
      </c>
      <c r="B730" s="2" t="str">
        <f>"302396760"</f>
        <v>302396760</v>
      </c>
      <c r="C730" s="2" t="s">
        <v>16</v>
      </c>
      <c r="D730" s="2" t="s">
        <v>2478</v>
      </c>
      <c r="E730" s="2" t="s">
        <v>157</v>
      </c>
      <c r="F730" s="2" t="s">
        <v>482</v>
      </c>
      <c r="G730" s="2" t="s">
        <v>483</v>
      </c>
      <c r="H730" s="2" t="s">
        <v>483</v>
      </c>
      <c r="I730" s="2" t="s">
        <v>30</v>
      </c>
      <c r="J730" s="2" t="s">
        <v>2479</v>
      </c>
      <c r="K730" s="2" t="str">
        <f>"19"</f>
        <v>19</v>
      </c>
      <c r="L730" s="2" t="str">
        <f>""</f>
        <v/>
      </c>
      <c r="M730" s="2" t="str">
        <f>"64-920"</f>
        <v>64-920</v>
      </c>
      <c r="N730" s="2" t="str">
        <f>"673509097"</f>
        <v>673509097</v>
      </c>
      <c r="O730" s="2" t="s">
        <v>2480</v>
      </c>
      <c r="P730" s="2" t="s">
        <v>121</v>
      </c>
    </row>
    <row r="731" spans="1:16" x14ac:dyDescent="0.25">
      <c r="A731" s="2">
        <v>20996</v>
      </c>
      <c r="B731" s="2" t="str">
        <f>"000694310"</f>
        <v>000694310</v>
      </c>
      <c r="C731" s="2" t="s">
        <v>16</v>
      </c>
      <c r="D731" s="2" t="s">
        <v>2481</v>
      </c>
      <c r="E731" s="2" t="s">
        <v>157</v>
      </c>
      <c r="F731" s="2" t="s">
        <v>2482</v>
      </c>
      <c r="G731" s="2" t="s">
        <v>2483</v>
      </c>
      <c r="H731" s="2" t="s">
        <v>2483</v>
      </c>
      <c r="I731" s="2" t="s">
        <v>30</v>
      </c>
      <c r="J731" s="2" t="s">
        <v>2431</v>
      </c>
      <c r="K731" s="2" t="str">
        <f>"14"</f>
        <v>14</v>
      </c>
      <c r="L731" s="2" t="str">
        <f>""</f>
        <v/>
      </c>
      <c r="M731" s="2" t="str">
        <f>"63-300"</f>
        <v>63-300</v>
      </c>
      <c r="N731" s="2" t="str">
        <f>"627421655"</f>
        <v>627421655</v>
      </c>
      <c r="O731" s="2" t="s">
        <v>2484</v>
      </c>
      <c r="P731" s="2" t="s">
        <v>121</v>
      </c>
    </row>
    <row r="732" spans="1:16" x14ac:dyDescent="0.25">
      <c r="A732" s="2">
        <v>81699</v>
      </c>
      <c r="B732" s="2" t="str">
        <f>"000734966"</f>
        <v>000734966</v>
      </c>
      <c r="C732" s="2" t="s">
        <v>16</v>
      </c>
      <c r="D732" s="2" t="s">
        <v>2485</v>
      </c>
      <c r="E732" s="2" t="s">
        <v>39</v>
      </c>
      <c r="F732" s="2" t="s">
        <v>2486</v>
      </c>
      <c r="G732" s="2" t="s">
        <v>2487</v>
      </c>
      <c r="H732" s="2" t="s">
        <v>2487</v>
      </c>
      <c r="I732" s="2" t="s">
        <v>30</v>
      </c>
      <c r="J732" s="2" t="s">
        <v>2488</v>
      </c>
      <c r="K732" s="2" t="str">
        <f>"13"</f>
        <v>13</v>
      </c>
      <c r="L732" s="2" t="str">
        <f>""</f>
        <v/>
      </c>
      <c r="M732" s="2" t="str">
        <f>"99-200"</f>
        <v>99-200</v>
      </c>
      <c r="N732" s="2" t="str">
        <f>"436782977"</f>
        <v>436782977</v>
      </c>
      <c r="O732" s="2" t="s">
        <v>2489</v>
      </c>
      <c r="P732" s="2" t="s">
        <v>121</v>
      </c>
    </row>
    <row r="733" spans="1:16" x14ac:dyDescent="0.25">
      <c r="A733" s="2">
        <v>48366</v>
      </c>
      <c r="B733" s="2" t="str">
        <f>"331096854"</f>
        <v>331096854</v>
      </c>
      <c r="C733" s="2" t="s">
        <v>16</v>
      </c>
      <c r="D733" s="2" t="s">
        <v>2490</v>
      </c>
      <c r="E733" s="2" t="s">
        <v>34</v>
      </c>
      <c r="F733" s="2" t="s">
        <v>1141</v>
      </c>
      <c r="G733" s="2" t="s">
        <v>2491</v>
      </c>
      <c r="H733" s="2" t="s">
        <v>2491</v>
      </c>
      <c r="I733" s="2" t="s">
        <v>30</v>
      </c>
      <c r="J733" s="2" t="s">
        <v>1255</v>
      </c>
      <c r="K733" s="2" t="str">
        <f>"4"</f>
        <v>4</v>
      </c>
      <c r="L733" s="2" t="str">
        <f>""</f>
        <v/>
      </c>
      <c r="M733" s="2" t="str">
        <f>"78-320"</f>
        <v>78-320</v>
      </c>
      <c r="N733" s="2" t="str">
        <f>"943662963"</f>
        <v>943662963</v>
      </c>
      <c r="O733" s="2" t="s">
        <v>2492</v>
      </c>
      <c r="P733" s="2" t="s">
        <v>121</v>
      </c>
    </row>
    <row r="734" spans="1:16" x14ac:dyDescent="0.25">
      <c r="A734" s="2">
        <v>42847</v>
      </c>
      <c r="B734" s="2" t="str">
        <f>"810486257"</f>
        <v>810486257</v>
      </c>
      <c r="C734" s="2" t="s">
        <v>16</v>
      </c>
      <c r="D734" s="2" t="s">
        <v>2493</v>
      </c>
      <c r="E734" s="2" t="s">
        <v>34</v>
      </c>
      <c r="F734" s="2" t="s">
        <v>2494</v>
      </c>
      <c r="G734" s="2" t="s">
        <v>2495</v>
      </c>
      <c r="H734" s="2" t="s">
        <v>2495</v>
      </c>
      <c r="I734" s="2" t="s">
        <v>30</v>
      </c>
      <c r="J734" s="2" t="s">
        <v>325</v>
      </c>
      <c r="K734" s="2" t="str">
        <f>"5"</f>
        <v>5</v>
      </c>
      <c r="L734" s="2" t="str">
        <f>""</f>
        <v/>
      </c>
      <c r="M734" s="2" t="str">
        <f>"72-009"</f>
        <v>72-009</v>
      </c>
      <c r="N734" s="2" t="str">
        <f>"913176729"</f>
        <v>913176729</v>
      </c>
      <c r="O734" s="2" t="s">
        <v>2496</v>
      </c>
      <c r="P734" s="2" t="s">
        <v>121</v>
      </c>
    </row>
    <row r="735" spans="1:16" x14ac:dyDescent="0.25">
      <c r="A735" s="2">
        <v>111806</v>
      </c>
      <c r="B735" s="2" t="str">
        <f>"022097933"</f>
        <v>022097933</v>
      </c>
      <c r="C735" s="2" t="s">
        <v>16</v>
      </c>
      <c r="D735" s="2" t="s">
        <v>2497</v>
      </c>
      <c r="E735" s="2" t="s">
        <v>64</v>
      </c>
      <c r="F735" s="2" t="s">
        <v>2318</v>
      </c>
      <c r="G735" s="2" t="s">
        <v>2319</v>
      </c>
      <c r="H735" s="2" t="s">
        <v>2319</v>
      </c>
      <c r="I735" s="2" t="s">
        <v>30</v>
      </c>
      <c r="J735" s="2" t="s">
        <v>2010</v>
      </c>
      <c r="K735" s="2" t="str">
        <f>"1"</f>
        <v>1</v>
      </c>
      <c r="L735" s="2" t="str">
        <f>""</f>
        <v/>
      </c>
      <c r="M735" s="2" t="str">
        <f>"59-100"</f>
        <v>59-100</v>
      </c>
      <c r="N735" s="2" t="str">
        <f>"767461570"</f>
        <v>767461570</v>
      </c>
      <c r="O735" s="2" t="s">
        <v>2498</v>
      </c>
      <c r="P735" s="2" t="s">
        <v>121</v>
      </c>
    </row>
    <row r="736" spans="1:16" x14ac:dyDescent="0.25">
      <c r="A736" s="2">
        <v>10120</v>
      </c>
      <c r="B736" s="2" t="str">
        <f>"651199894"</f>
        <v>651199894</v>
      </c>
      <c r="C736" s="2" t="s">
        <v>16</v>
      </c>
      <c r="D736" s="2" t="s">
        <v>2499</v>
      </c>
      <c r="E736" s="2" t="s">
        <v>101</v>
      </c>
      <c r="F736" s="2" t="s">
        <v>2500</v>
      </c>
      <c r="G736" s="2" t="s">
        <v>2501</v>
      </c>
      <c r="H736" s="2" t="s">
        <v>2501</v>
      </c>
      <c r="I736" s="2" t="s">
        <v>30</v>
      </c>
      <c r="J736" s="2" t="s">
        <v>2502</v>
      </c>
      <c r="K736" s="2" t="str">
        <f>"16"</f>
        <v>16</v>
      </c>
      <c r="L736" s="2" t="str">
        <f>""</f>
        <v/>
      </c>
      <c r="M736" s="2" t="str">
        <f>"37-200"</f>
        <v>37-200</v>
      </c>
      <c r="N736" s="2" t="str">
        <f>"166488250"</f>
        <v>166488250</v>
      </c>
      <c r="O736" s="2" t="s">
        <v>2503</v>
      </c>
      <c r="P736" s="2" t="s">
        <v>121</v>
      </c>
    </row>
    <row r="737" spans="1:16" x14ac:dyDescent="0.25">
      <c r="A737" s="2">
        <v>58212</v>
      </c>
      <c r="B737" s="2" t="str">
        <f>"000723939"</f>
        <v>000723939</v>
      </c>
      <c r="C737" s="2" t="s">
        <v>16</v>
      </c>
      <c r="D737" s="2" t="s">
        <v>2504</v>
      </c>
      <c r="E737" s="2" t="s">
        <v>117</v>
      </c>
      <c r="F737" s="2" t="s">
        <v>2002</v>
      </c>
      <c r="G737" s="2" t="s">
        <v>2505</v>
      </c>
      <c r="H737" s="2" t="s">
        <v>2505</v>
      </c>
      <c r="I737" s="2" t="s">
        <v>30</v>
      </c>
      <c r="J737" s="2" t="s">
        <v>2506</v>
      </c>
      <c r="K737" s="2" t="str">
        <f>"5"</f>
        <v>5</v>
      </c>
      <c r="L737" s="2" t="str">
        <f>""</f>
        <v/>
      </c>
      <c r="M737" s="2" t="str">
        <f>"43-200"</f>
        <v>43-200</v>
      </c>
      <c r="N737" s="2" t="str">
        <f>"322103716"</f>
        <v>322103716</v>
      </c>
      <c r="O737" s="2" t="s">
        <v>2507</v>
      </c>
      <c r="P737" s="2" t="s">
        <v>121</v>
      </c>
    </row>
    <row r="738" spans="1:16" x14ac:dyDescent="0.25">
      <c r="A738" s="2">
        <v>107076</v>
      </c>
      <c r="B738" s="2" t="str">
        <f>"000957910"</f>
        <v>000957910</v>
      </c>
      <c r="C738" s="2" t="s">
        <v>16</v>
      </c>
      <c r="D738" s="2" t="s">
        <v>2508</v>
      </c>
      <c r="E738" s="2" t="s">
        <v>80</v>
      </c>
      <c r="F738" s="2" t="s">
        <v>641</v>
      </c>
      <c r="G738" s="2" t="s">
        <v>2509</v>
      </c>
      <c r="H738" s="2" t="s">
        <v>2509</v>
      </c>
      <c r="I738" s="2" t="s">
        <v>30</v>
      </c>
      <c r="J738" s="2" t="s">
        <v>1124</v>
      </c>
      <c r="K738" s="2" t="str">
        <f>"7"</f>
        <v>7</v>
      </c>
      <c r="L738" s="2" t="str">
        <f>""</f>
        <v/>
      </c>
      <c r="M738" s="2" t="str">
        <f>"84-100"</f>
        <v>84-100</v>
      </c>
      <c r="N738" s="2" t="str">
        <f>"585065999"</f>
        <v>585065999</v>
      </c>
      <c r="O738" s="2" t="s">
        <v>2510</v>
      </c>
      <c r="P738" s="2" t="s">
        <v>121</v>
      </c>
    </row>
    <row r="739" spans="1:16" x14ac:dyDescent="0.25">
      <c r="A739" s="2">
        <v>8763</v>
      </c>
      <c r="B739" s="2" t="str">
        <f>"060708590"</f>
        <v>060708590</v>
      </c>
      <c r="C739" s="2" t="s">
        <v>16</v>
      </c>
      <c r="D739" s="2" t="s">
        <v>2511</v>
      </c>
      <c r="E739" s="2" t="s">
        <v>112</v>
      </c>
      <c r="F739" s="2" t="s">
        <v>2355</v>
      </c>
      <c r="G739" s="2" t="s">
        <v>2358</v>
      </c>
      <c r="H739" s="2" t="s">
        <v>2358</v>
      </c>
      <c r="I739" s="2" t="s">
        <v>30</v>
      </c>
      <c r="J739" s="2" t="s">
        <v>491</v>
      </c>
      <c r="K739" s="2" t="str">
        <f>"10a"</f>
        <v>10a</v>
      </c>
      <c r="L739" s="2" t="str">
        <f>""</f>
        <v/>
      </c>
      <c r="M739" s="2" t="str">
        <f>"08-500"</f>
        <v>08-500</v>
      </c>
      <c r="N739" s="2" t="str">
        <f>"818652640"</f>
        <v>818652640</v>
      </c>
      <c r="O739" s="2" t="s">
        <v>2512</v>
      </c>
      <c r="P739" s="2" t="s">
        <v>121</v>
      </c>
    </row>
    <row r="740" spans="1:16" x14ac:dyDescent="0.25">
      <c r="A740" s="2">
        <v>61387</v>
      </c>
      <c r="B740" s="2" t="str">
        <f>"371000780"</f>
        <v>371000780</v>
      </c>
      <c r="C740" s="2" t="s">
        <v>16</v>
      </c>
      <c r="D740" s="2" t="s">
        <v>2513</v>
      </c>
      <c r="E740" s="2" t="s">
        <v>101</v>
      </c>
      <c r="F740" s="2" t="s">
        <v>2514</v>
      </c>
      <c r="G740" s="2" t="s">
        <v>2515</v>
      </c>
      <c r="H740" s="2" t="s">
        <v>2515</v>
      </c>
      <c r="I740" s="2" t="s">
        <v>30</v>
      </c>
      <c r="J740" s="2" t="s">
        <v>2516</v>
      </c>
      <c r="K740" s="2" t="str">
        <f>"5"</f>
        <v>5</v>
      </c>
      <c r="L740" s="2" t="str">
        <f>""</f>
        <v/>
      </c>
      <c r="M740" s="2" t="str">
        <f>"38-500"</f>
        <v>38-500</v>
      </c>
      <c r="N740" s="2" t="str">
        <f>"+48134631671"</f>
        <v>+48134631671</v>
      </c>
      <c r="O740" s="2" t="s">
        <v>2517</v>
      </c>
      <c r="P740" s="2" t="s">
        <v>121</v>
      </c>
    </row>
    <row r="741" spans="1:16" x14ac:dyDescent="0.25">
      <c r="A741" s="2">
        <v>13780</v>
      </c>
      <c r="B741" s="2" t="str">
        <f>"000861185"</f>
        <v>000861185</v>
      </c>
      <c r="C741" s="2" t="s">
        <v>16</v>
      </c>
      <c r="D741" s="2" t="s">
        <v>2518</v>
      </c>
      <c r="E741" s="2" t="s">
        <v>97</v>
      </c>
      <c r="F741" s="2" t="s">
        <v>2519</v>
      </c>
      <c r="G741" s="2" t="s">
        <v>2520</v>
      </c>
      <c r="H741" s="2" t="s">
        <v>2520</v>
      </c>
      <c r="I741" s="2" t="s">
        <v>30</v>
      </c>
      <c r="J741" s="2" t="s">
        <v>2521</v>
      </c>
      <c r="K741" s="2" t="str">
        <f>"1"</f>
        <v>1</v>
      </c>
      <c r="L741" s="2" t="str">
        <f>""</f>
        <v/>
      </c>
      <c r="M741" s="2" t="str">
        <f>"16-500"</f>
        <v>16-500</v>
      </c>
      <c r="N741" s="2" t="str">
        <f>"875162256"</f>
        <v>875162256</v>
      </c>
      <c r="O741" s="2" t="s">
        <v>2522</v>
      </c>
      <c r="P741" s="2" t="s">
        <v>121</v>
      </c>
    </row>
    <row r="742" spans="1:16" x14ac:dyDescent="0.25">
      <c r="A742" s="2">
        <v>114598</v>
      </c>
      <c r="B742" s="2" t="str">
        <f>"072334423"</f>
        <v>072334423</v>
      </c>
      <c r="C742" s="2" t="s">
        <v>16</v>
      </c>
      <c r="D742" s="2" t="s">
        <v>2523</v>
      </c>
      <c r="E742" s="2" t="s">
        <v>117</v>
      </c>
      <c r="F742" s="2" t="s">
        <v>177</v>
      </c>
      <c r="G742" s="2" t="s">
        <v>178</v>
      </c>
      <c r="H742" s="2" t="s">
        <v>178</v>
      </c>
      <c r="I742" s="2" t="s">
        <v>30</v>
      </c>
      <c r="J742" s="2" t="s">
        <v>2524</v>
      </c>
      <c r="K742" s="2" t="str">
        <f>"65a"</f>
        <v>65a</v>
      </c>
      <c r="L742" s="2" t="str">
        <f>""</f>
        <v/>
      </c>
      <c r="M742" s="2" t="str">
        <f>"43-430"</f>
        <v>43-430</v>
      </c>
      <c r="N742" s="2" t="str">
        <f>"0338532554"</f>
        <v>0338532554</v>
      </c>
      <c r="O742" s="2" t="s">
        <v>2525</v>
      </c>
      <c r="P742" s="2" t="s">
        <v>121</v>
      </c>
    </row>
    <row r="743" spans="1:16" x14ac:dyDescent="0.25">
      <c r="A743" s="2">
        <v>59682</v>
      </c>
      <c r="B743" s="2" t="str">
        <f>"001028880"</f>
        <v>001028880</v>
      </c>
      <c r="C743" s="2" t="s">
        <v>16</v>
      </c>
      <c r="D743" s="2" t="s">
        <v>2526</v>
      </c>
      <c r="E743" s="2" t="s">
        <v>240</v>
      </c>
      <c r="F743" s="2" t="s">
        <v>2448</v>
      </c>
      <c r="G743" s="2" t="s">
        <v>2527</v>
      </c>
      <c r="H743" s="2" t="s">
        <v>2527</v>
      </c>
      <c r="I743" s="2" t="s">
        <v>30</v>
      </c>
      <c r="J743" s="2" t="s">
        <v>1297</v>
      </c>
      <c r="K743" s="2" t="str">
        <f>"1"</f>
        <v>1</v>
      </c>
      <c r="L743" s="2" t="str">
        <f>""</f>
        <v/>
      </c>
      <c r="M743" s="2" t="str">
        <f>"66-440"</f>
        <v>66-440</v>
      </c>
      <c r="N743" s="2" t="str">
        <f>"957170385"</f>
        <v>957170385</v>
      </c>
      <c r="O743" s="2" t="s">
        <v>2528</v>
      </c>
      <c r="P743" s="2" t="s">
        <v>121</v>
      </c>
    </row>
    <row r="744" spans="1:16" x14ac:dyDescent="0.25">
      <c r="A744" s="2">
        <v>62560</v>
      </c>
      <c r="B744" s="2" t="str">
        <f>"000908159"</f>
        <v>000908159</v>
      </c>
      <c r="C744" s="2" t="s">
        <v>16</v>
      </c>
      <c r="D744" s="2" t="s">
        <v>2529</v>
      </c>
      <c r="E744" s="2" t="s">
        <v>80</v>
      </c>
      <c r="F744" s="2" t="s">
        <v>81</v>
      </c>
      <c r="G744" s="2" t="s">
        <v>81</v>
      </c>
      <c r="H744" s="2" t="s">
        <v>81</v>
      </c>
      <c r="I744" s="2" t="s">
        <v>30</v>
      </c>
      <c r="J744" s="2" t="s">
        <v>453</v>
      </c>
      <c r="K744" s="2" t="str">
        <f>"1"</f>
        <v>1</v>
      </c>
      <c r="L744" s="2" t="str">
        <f>""</f>
        <v/>
      </c>
      <c r="M744" s="2" t="str">
        <f>"76-200"</f>
        <v>76-200</v>
      </c>
      <c r="N744" s="2" t="str">
        <f>"598456085"</f>
        <v>598456085</v>
      </c>
      <c r="O744" s="2" t="s">
        <v>2530</v>
      </c>
      <c r="P744" s="2" t="s">
        <v>121</v>
      </c>
    </row>
    <row r="745" spans="1:16" x14ac:dyDescent="0.25">
      <c r="A745" s="2">
        <v>11239</v>
      </c>
      <c r="B745" s="2" t="str">
        <f>"000734363"</f>
        <v>000734363</v>
      </c>
      <c r="C745" s="2" t="s">
        <v>16</v>
      </c>
      <c r="D745" s="2" t="s">
        <v>2531</v>
      </c>
      <c r="E745" s="2" t="s">
        <v>97</v>
      </c>
      <c r="F745" s="2" t="s">
        <v>222</v>
      </c>
      <c r="G745" s="2" t="s">
        <v>223</v>
      </c>
      <c r="H745" s="2" t="s">
        <v>223</v>
      </c>
      <c r="I745" s="2" t="s">
        <v>30</v>
      </c>
      <c r="J745" s="2" t="s">
        <v>2532</v>
      </c>
      <c r="K745" s="2" t="str">
        <f>"1b"</f>
        <v>1b</v>
      </c>
      <c r="L745" s="2" t="str">
        <f>""</f>
        <v/>
      </c>
      <c r="M745" s="2" t="str">
        <f>"16-100"</f>
        <v>16-100</v>
      </c>
      <c r="N745" s="2" t="str">
        <f>"857113291"</f>
        <v>857113291</v>
      </c>
      <c r="O745" s="2" t="s">
        <v>2533</v>
      </c>
      <c r="P745" s="2" t="s">
        <v>121</v>
      </c>
    </row>
    <row r="746" spans="1:16" x14ac:dyDescent="0.25">
      <c r="A746" s="2">
        <v>13609</v>
      </c>
      <c r="B746" s="2" t="str">
        <f>"000743014"</f>
        <v>000743014</v>
      </c>
      <c r="C746" s="2" t="s">
        <v>16</v>
      </c>
      <c r="D746" s="2" t="s">
        <v>2534</v>
      </c>
      <c r="E746" s="2" t="s">
        <v>416</v>
      </c>
      <c r="F746" s="2" t="s">
        <v>2535</v>
      </c>
      <c r="G746" s="2" t="s">
        <v>2536</v>
      </c>
      <c r="H746" s="2" t="s">
        <v>2536</v>
      </c>
      <c r="I746" s="2" t="s">
        <v>30</v>
      </c>
      <c r="J746" s="2" t="s">
        <v>544</v>
      </c>
      <c r="K746" s="2" t="str">
        <f>"5"</f>
        <v>5</v>
      </c>
      <c r="L746" s="2" t="str">
        <f>""</f>
        <v/>
      </c>
      <c r="M746" s="2" t="str">
        <f>"47-100"</f>
        <v>47-100</v>
      </c>
      <c r="N746" s="2" t="str">
        <f>"774613026"</f>
        <v>774613026</v>
      </c>
      <c r="O746" s="2" t="s">
        <v>2537</v>
      </c>
      <c r="P746" s="2" t="s">
        <v>121</v>
      </c>
    </row>
    <row r="747" spans="1:16" x14ac:dyDescent="0.25">
      <c r="A747" s="2">
        <v>27623</v>
      </c>
      <c r="B747" s="2" t="str">
        <f>"001030227"</f>
        <v>001030227</v>
      </c>
      <c r="C747" s="2" t="s">
        <v>16</v>
      </c>
      <c r="D747" s="2" t="s">
        <v>2538</v>
      </c>
      <c r="E747" s="2" t="s">
        <v>101</v>
      </c>
      <c r="F747" s="2" t="s">
        <v>757</v>
      </c>
      <c r="G747" s="2" t="s">
        <v>758</v>
      </c>
      <c r="H747" s="2" t="s">
        <v>758</v>
      </c>
      <c r="I747" s="2" t="s">
        <v>30</v>
      </c>
      <c r="J747" s="2" t="s">
        <v>823</v>
      </c>
      <c r="K747" s="2" t="str">
        <f>"4"</f>
        <v>4</v>
      </c>
      <c r="L747" s="2" t="str">
        <f>""</f>
        <v/>
      </c>
      <c r="M747" s="2" t="str">
        <f>"38-100"</f>
        <v>38-100</v>
      </c>
      <c r="N747" s="2" t="str">
        <f>"172761075"</f>
        <v>172761075</v>
      </c>
      <c r="O747" s="2" t="s">
        <v>2539</v>
      </c>
      <c r="P747" s="2" t="s">
        <v>121</v>
      </c>
    </row>
    <row r="748" spans="1:16" x14ac:dyDescent="0.25">
      <c r="A748" s="2">
        <v>16343</v>
      </c>
      <c r="B748" s="2" t="str">
        <f>"970779564"</f>
        <v>970779564</v>
      </c>
      <c r="C748" s="2" t="s">
        <v>16</v>
      </c>
      <c r="D748" s="2" t="s">
        <v>2540</v>
      </c>
      <c r="E748" s="2" t="s">
        <v>240</v>
      </c>
      <c r="F748" s="2" t="s">
        <v>2541</v>
      </c>
      <c r="G748" s="2" t="s">
        <v>2542</v>
      </c>
      <c r="H748" s="2" t="s">
        <v>2542</v>
      </c>
      <c r="I748" s="2" t="s">
        <v>30</v>
      </c>
      <c r="J748" s="2" t="s">
        <v>2543</v>
      </c>
      <c r="K748" s="2" t="str">
        <f>"1"</f>
        <v>1</v>
      </c>
      <c r="L748" s="2" t="str">
        <f>""</f>
        <v/>
      </c>
      <c r="M748" s="2" t="str">
        <f>"66-100"</f>
        <v>66-100</v>
      </c>
      <c r="N748" s="2" t="str">
        <f>"690240776"</f>
        <v>690240776</v>
      </c>
      <c r="O748" s="2" t="s">
        <v>2544</v>
      </c>
      <c r="P748" s="2" t="s">
        <v>121</v>
      </c>
    </row>
    <row r="749" spans="1:16" x14ac:dyDescent="0.25">
      <c r="A749" s="2">
        <v>26832</v>
      </c>
      <c r="B749" s="2" t="str">
        <f>"000892719"</f>
        <v>000892719</v>
      </c>
      <c r="C749" s="2" t="s">
        <v>16</v>
      </c>
      <c r="D749" s="2" t="s">
        <v>2545</v>
      </c>
      <c r="E749" s="2" t="s">
        <v>97</v>
      </c>
      <c r="F749" s="2" t="s">
        <v>170</v>
      </c>
      <c r="G749" s="2" t="s">
        <v>170</v>
      </c>
      <c r="H749" s="2" t="s">
        <v>170</v>
      </c>
      <c r="I749" s="2" t="s">
        <v>30</v>
      </c>
      <c r="J749" s="2" t="s">
        <v>2546</v>
      </c>
      <c r="K749" s="2" t="str">
        <f>"10"</f>
        <v>10</v>
      </c>
      <c r="L749" s="2" t="str">
        <f>""</f>
        <v/>
      </c>
      <c r="M749" s="2" t="str">
        <f>"16-400"</f>
        <v>16-400</v>
      </c>
      <c r="N749" s="2" t="str">
        <f>"875664149"</f>
        <v>875664149</v>
      </c>
      <c r="O749" s="2" t="s">
        <v>2547</v>
      </c>
      <c r="P749" s="2" t="s">
        <v>121</v>
      </c>
    </row>
    <row r="750" spans="1:16" x14ac:dyDescent="0.25">
      <c r="A750" s="2">
        <v>87826</v>
      </c>
      <c r="B750" s="2" t="str">
        <f>"000707478"</f>
        <v>000707478</v>
      </c>
      <c r="C750" s="2" t="s">
        <v>16</v>
      </c>
      <c r="D750" s="2" t="s">
        <v>2548</v>
      </c>
      <c r="E750" s="2" t="s">
        <v>389</v>
      </c>
      <c r="F750" s="2" t="s">
        <v>2549</v>
      </c>
      <c r="G750" s="2" t="s">
        <v>2550</v>
      </c>
      <c r="H750" s="2" t="s">
        <v>2550</v>
      </c>
      <c r="I750" s="2" t="s">
        <v>30</v>
      </c>
      <c r="J750" s="2" t="s">
        <v>2551</v>
      </c>
      <c r="K750" s="2" t="str">
        <f>"10"</f>
        <v>10</v>
      </c>
      <c r="L750" s="2" t="str">
        <f>""</f>
        <v/>
      </c>
      <c r="M750" s="2" t="str">
        <f>"12-100"</f>
        <v>12-100</v>
      </c>
      <c r="N750" s="2" t="str">
        <f>"896242592"</f>
        <v>896242592</v>
      </c>
      <c r="O750" s="2" t="s">
        <v>2552</v>
      </c>
      <c r="P750" s="2" t="s">
        <v>121</v>
      </c>
    </row>
    <row r="751" spans="1:16" x14ac:dyDescent="0.25">
      <c r="A751" s="2">
        <v>6579</v>
      </c>
      <c r="B751" s="2" t="str">
        <f>"001011690"</f>
        <v>001011690</v>
      </c>
      <c r="C751" s="2" t="s">
        <v>16</v>
      </c>
      <c r="D751" s="2" t="s">
        <v>2553</v>
      </c>
      <c r="E751" s="2" t="s">
        <v>80</v>
      </c>
      <c r="F751" s="2" t="s">
        <v>2554</v>
      </c>
      <c r="G751" s="2" t="s">
        <v>2555</v>
      </c>
      <c r="H751" s="2" t="s">
        <v>2555</v>
      </c>
      <c r="I751" s="2" t="s">
        <v>30</v>
      </c>
      <c r="J751" s="2" t="s">
        <v>2556</v>
      </c>
      <c r="K751" s="2" t="str">
        <f>"3"</f>
        <v>3</v>
      </c>
      <c r="L751" s="2" t="str">
        <f>""</f>
        <v/>
      </c>
      <c r="M751" s="2" t="str">
        <f>"82-400"</f>
        <v>82-400</v>
      </c>
      <c r="N751" s="2" t="str">
        <f>"552472314"</f>
        <v>552472314</v>
      </c>
      <c r="O751" s="2" t="s">
        <v>2557</v>
      </c>
      <c r="P751" s="2" t="s">
        <v>121</v>
      </c>
    </row>
    <row r="752" spans="1:16" x14ac:dyDescent="0.25">
      <c r="A752" s="2">
        <v>31442</v>
      </c>
      <c r="B752" s="2" t="str">
        <f>"670919661"</f>
        <v>670919661</v>
      </c>
      <c r="C752" s="2" t="s">
        <v>16</v>
      </c>
      <c r="D752" s="2" t="s">
        <v>2558</v>
      </c>
      <c r="E752" s="2" t="s">
        <v>18</v>
      </c>
      <c r="F752" s="2" t="s">
        <v>2559</v>
      </c>
      <c r="G752" s="2" t="s">
        <v>2560</v>
      </c>
      <c r="H752" s="2" t="s">
        <v>2560</v>
      </c>
      <c r="I752" s="2" t="s">
        <v>30</v>
      </c>
      <c r="J752" s="2" t="s">
        <v>188</v>
      </c>
      <c r="K752" s="2" t="str">
        <f>"185"</f>
        <v>185</v>
      </c>
      <c r="L752" s="2" t="str">
        <f>""</f>
        <v/>
      </c>
      <c r="M752" s="2" t="str">
        <f>"26-500"</f>
        <v>26-500</v>
      </c>
      <c r="N752" s="2" t="str">
        <f>"486171001"</f>
        <v>486171001</v>
      </c>
      <c r="O752" s="2" t="s">
        <v>2561</v>
      </c>
      <c r="P752" s="2" t="s">
        <v>121</v>
      </c>
    </row>
    <row r="753" spans="1:16" x14ac:dyDescent="0.25">
      <c r="A753" s="2">
        <v>39119</v>
      </c>
      <c r="B753" s="2" t="str">
        <f>"092910928"</f>
        <v>092910928</v>
      </c>
      <c r="C753" s="2" t="s">
        <v>16</v>
      </c>
      <c r="D753" s="2" t="s">
        <v>2562</v>
      </c>
      <c r="E753" s="2" t="s">
        <v>181</v>
      </c>
      <c r="F753" s="2" t="s">
        <v>2563</v>
      </c>
      <c r="G753" s="2" t="s">
        <v>2564</v>
      </c>
      <c r="H753" s="2" t="s">
        <v>2564</v>
      </c>
      <c r="I753" s="2" t="s">
        <v>30</v>
      </c>
      <c r="J753" s="2" t="s">
        <v>1283</v>
      </c>
      <c r="K753" s="2" t="str">
        <f>"30"</f>
        <v>30</v>
      </c>
      <c r="L753" s="2" t="str">
        <f>""</f>
        <v/>
      </c>
      <c r="M753" s="2" t="str">
        <f>"89-501"</f>
        <v>89-501</v>
      </c>
      <c r="N753" s="2" t="str">
        <f>"523343863"</f>
        <v>523343863</v>
      </c>
      <c r="O753" s="2" t="s">
        <v>2565</v>
      </c>
      <c r="P753" s="2" t="s">
        <v>121</v>
      </c>
    </row>
    <row r="754" spans="1:16" x14ac:dyDescent="0.25">
      <c r="A754" s="2">
        <v>48968</v>
      </c>
      <c r="B754" s="2" t="str">
        <f>"001238778"</f>
        <v>001238778</v>
      </c>
      <c r="C754" s="2" t="s">
        <v>16</v>
      </c>
      <c r="D754" s="2" t="s">
        <v>2566</v>
      </c>
      <c r="E754" s="2" t="s">
        <v>157</v>
      </c>
      <c r="F754" s="2" t="s">
        <v>2567</v>
      </c>
      <c r="G754" s="2" t="s">
        <v>2568</v>
      </c>
      <c r="H754" s="2" t="s">
        <v>2568</v>
      </c>
      <c r="I754" s="2" t="s">
        <v>30</v>
      </c>
      <c r="J754" s="2" t="s">
        <v>2569</v>
      </c>
      <c r="K754" s="2" t="str">
        <f>"1"</f>
        <v>1</v>
      </c>
      <c r="L754" s="2" t="str">
        <f>""</f>
        <v/>
      </c>
      <c r="M754" s="2" t="str">
        <f>"62-100"</f>
        <v>62-100</v>
      </c>
      <c r="N754" s="2" t="str">
        <f>"672622380"</f>
        <v>672622380</v>
      </c>
      <c r="O754" s="2" t="s">
        <v>2570</v>
      </c>
      <c r="P754" s="2" t="s">
        <v>121</v>
      </c>
    </row>
    <row r="755" spans="1:16" x14ac:dyDescent="0.25">
      <c r="A755" s="2">
        <v>109667</v>
      </c>
      <c r="B755" s="2" t="str">
        <f>"302349996"</f>
        <v>302349996</v>
      </c>
      <c r="C755" s="2" t="s">
        <v>16</v>
      </c>
      <c r="D755" s="2" t="s">
        <v>2571</v>
      </c>
      <c r="E755" s="2" t="s">
        <v>157</v>
      </c>
      <c r="F755" s="2" t="s">
        <v>482</v>
      </c>
      <c r="G755" s="2" t="s">
        <v>2572</v>
      </c>
      <c r="H755" s="2" t="s">
        <v>2572</v>
      </c>
      <c r="I755" s="2" t="s">
        <v>30</v>
      </c>
      <c r="J755" s="2" t="s">
        <v>1620</v>
      </c>
      <c r="K755" s="2" t="str">
        <f>"1"</f>
        <v>1</v>
      </c>
      <c r="L755" s="2" t="str">
        <f>""</f>
        <v/>
      </c>
      <c r="M755" s="2" t="str">
        <f>"89-300"</f>
        <v>89-300</v>
      </c>
      <c r="N755" s="2" t="str">
        <f>"672862477"</f>
        <v>672862477</v>
      </c>
      <c r="O755" s="2" t="s">
        <v>2573</v>
      </c>
      <c r="P755" s="2" t="s">
        <v>121</v>
      </c>
    </row>
    <row r="756" spans="1:16" x14ac:dyDescent="0.25">
      <c r="A756" s="2">
        <v>17306</v>
      </c>
      <c r="B756" s="2" t="str">
        <f>"970089782"</f>
        <v>970089782</v>
      </c>
      <c r="C756" s="2" t="s">
        <v>16</v>
      </c>
      <c r="D756" s="2" t="s">
        <v>2574</v>
      </c>
      <c r="E756" s="2" t="s">
        <v>240</v>
      </c>
      <c r="F756" s="2" t="s">
        <v>2250</v>
      </c>
      <c r="G756" s="2" t="s">
        <v>2254</v>
      </c>
      <c r="H756" s="2" t="s">
        <v>2254</v>
      </c>
      <c r="I756" s="2" t="s">
        <v>30</v>
      </c>
      <c r="J756" s="2" t="s">
        <v>2045</v>
      </c>
      <c r="K756" s="2" t="str">
        <f>"1"</f>
        <v>1</v>
      </c>
      <c r="L756" s="2" t="str">
        <f>""</f>
        <v/>
      </c>
      <c r="M756" s="2" t="str">
        <f>"68-100"</f>
        <v>68-100</v>
      </c>
      <c r="N756" s="2" t="str">
        <f>"0684772900"</f>
        <v>0684772900</v>
      </c>
      <c r="O756" s="2" t="s">
        <v>2575</v>
      </c>
      <c r="P756" s="2" t="s">
        <v>121</v>
      </c>
    </row>
    <row r="757" spans="1:16" x14ac:dyDescent="0.25">
      <c r="A757" s="2">
        <v>20660</v>
      </c>
      <c r="B757" s="2" t="str">
        <f>"000833208"</f>
        <v>000833208</v>
      </c>
      <c r="C757" s="2" t="s">
        <v>16</v>
      </c>
      <c r="D757" s="2" t="s">
        <v>2576</v>
      </c>
      <c r="E757" s="2" t="s">
        <v>97</v>
      </c>
      <c r="F757" s="2" t="s">
        <v>2577</v>
      </c>
      <c r="G757" s="2" t="s">
        <v>2578</v>
      </c>
      <c r="H757" s="2" t="s">
        <v>2578</v>
      </c>
      <c r="I757" s="2" t="s">
        <v>30</v>
      </c>
      <c r="J757" s="2" t="s">
        <v>2579</v>
      </c>
      <c r="K757" s="2" t="str">
        <f>"2"</f>
        <v>2</v>
      </c>
      <c r="L757" s="2" t="str">
        <f>""</f>
        <v/>
      </c>
      <c r="M757" s="2" t="str">
        <f>"18-300"</f>
        <v>18-300</v>
      </c>
      <c r="N757" s="2" t="str">
        <f>"0862712178"</f>
        <v>0862712178</v>
      </c>
      <c r="O757" s="2" t="s">
        <v>2580</v>
      </c>
      <c r="P757" s="2" t="s">
        <v>121</v>
      </c>
    </row>
    <row r="758" spans="1:16" x14ac:dyDescent="0.25">
      <c r="A758" s="2">
        <v>7387</v>
      </c>
      <c r="B758" s="2" t="str">
        <f>"472402201"</f>
        <v>472402201</v>
      </c>
      <c r="C758" s="2" t="s">
        <v>16</v>
      </c>
      <c r="D758" s="2" t="s">
        <v>2581</v>
      </c>
      <c r="E758" s="2" t="s">
        <v>39</v>
      </c>
      <c r="F758" s="2" t="s">
        <v>711</v>
      </c>
      <c r="G758" s="2" t="s">
        <v>2362</v>
      </c>
      <c r="H758" s="2" t="s">
        <v>2362</v>
      </c>
      <c r="I758" s="2" t="s">
        <v>30</v>
      </c>
      <c r="J758" s="2" t="s">
        <v>579</v>
      </c>
      <c r="K758" s="2" t="str">
        <f>"89/91"</f>
        <v>89/91</v>
      </c>
      <c r="L758" s="2" t="str">
        <f>""</f>
        <v/>
      </c>
      <c r="M758" s="2" t="str">
        <f>"95-100"</f>
        <v>95-100</v>
      </c>
      <c r="N758" s="2" t="str">
        <f>"427183179"</f>
        <v>427183179</v>
      </c>
      <c r="O758" s="2" t="s">
        <v>2582</v>
      </c>
      <c r="P758" s="2" t="s">
        <v>121</v>
      </c>
    </row>
    <row r="759" spans="1:16" x14ac:dyDescent="0.25">
      <c r="A759" s="2">
        <v>27733</v>
      </c>
      <c r="B759" s="2" t="str">
        <f>"000837666"</f>
        <v>000837666</v>
      </c>
      <c r="C759" s="2" t="s">
        <v>16</v>
      </c>
      <c r="D759" s="2" t="s">
        <v>2583</v>
      </c>
      <c r="E759" s="2" t="s">
        <v>18</v>
      </c>
      <c r="F759" s="2" t="s">
        <v>1505</v>
      </c>
      <c r="G759" s="2" t="s">
        <v>2584</v>
      </c>
      <c r="H759" s="2" t="s">
        <v>2584</v>
      </c>
      <c r="I759" s="2" t="s">
        <v>30</v>
      </c>
      <c r="J759" s="2" t="s">
        <v>2585</v>
      </c>
      <c r="K759" s="2" t="str">
        <f>"6"</f>
        <v>6</v>
      </c>
      <c r="L759" s="2" t="str">
        <f>""</f>
        <v/>
      </c>
      <c r="M759" s="2" t="str">
        <f>"05-100"</f>
        <v>05-100</v>
      </c>
      <c r="N759" s="2" t="str">
        <f>"0227752013"</f>
        <v>0227752013</v>
      </c>
      <c r="O759" s="2" t="s">
        <v>2586</v>
      </c>
      <c r="P759" s="2" t="s">
        <v>121</v>
      </c>
    </row>
    <row r="760" spans="1:16" x14ac:dyDescent="0.25">
      <c r="A760" s="2">
        <v>7530</v>
      </c>
      <c r="B760" s="2" t="str">
        <f>"000735084"</f>
        <v>000735084</v>
      </c>
      <c r="C760" s="2" t="s">
        <v>16</v>
      </c>
      <c r="D760" s="2" t="s">
        <v>2588</v>
      </c>
      <c r="E760" s="2" t="s">
        <v>97</v>
      </c>
      <c r="F760" s="2" t="s">
        <v>164</v>
      </c>
      <c r="G760" s="2" t="s">
        <v>504</v>
      </c>
      <c r="H760" s="2" t="s">
        <v>504</v>
      </c>
      <c r="I760" s="2" t="s">
        <v>30</v>
      </c>
      <c r="J760" s="2" t="s">
        <v>2589</v>
      </c>
      <c r="K760" s="2" t="str">
        <f>"1"</f>
        <v>1</v>
      </c>
      <c r="L760" s="2" t="str">
        <f>""</f>
        <v/>
      </c>
      <c r="M760" s="2" t="str">
        <f>"17-100"</f>
        <v>17-100</v>
      </c>
      <c r="N760" s="2" t="str">
        <f>"858332674"</f>
        <v>858332674</v>
      </c>
      <c r="O760" s="2" t="s">
        <v>2590</v>
      </c>
      <c r="P760" s="2" t="s">
        <v>121</v>
      </c>
    </row>
    <row r="761" spans="1:16" x14ac:dyDescent="0.25">
      <c r="A761" s="2">
        <v>25295</v>
      </c>
      <c r="B761" s="2" t="str">
        <f>"810487216"</f>
        <v>810487216</v>
      </c>
      <c r="C761" s="2" t="s">
        <v>16</v>
      </c>
      <c r="D761" s="2" t="s">
        <v>2591</v>
      </c>
      <c r="E761" s="2" t="s">
        <v>34</v>
      </c>
      <c r="F761" s="2" t="s">
        <v>2592</v>
      </c>
      <c r="G761" s="2" t="s">
        <v>2593</v>
      </c>
      <c r="H761" s="2" t="s">
        <v>2593</v>
      </c>
      <c r="I761" s="2" t="s">
        <v>30</v>
      </c>
      <c r="J761" s="2" t="s">
        <v>1124</v>
      </c>
      <c r="K761" s="2" t="str">
        <f>"1"</f>
        <v>1</v>
      </c>
      <c r="L761" s="2" t="str">
        <f>""</f>
        <v/>
      </c>
      <c r="M761" s="2" t="str">
        <f>"72-510"</f>
        <v>72-510</v>
      </c>
      <c r="N761" s="2" t="str">
        <f>"913261490"</f>
        <v>913261490</v>
      </c>
      <c r="O761" s="2" t="s">
        <v>2594</v>
      </c>
      <c r="P761" s="2" t="s">
        <v>121</v>
      </c>
    </row>
    <row r="762" spans="1:16" x14ac:dyDescent="0.25">
      <c r="A762" s="2">
        <v>8425</v>
      </c>
      <c r="B762" s="2" t="str">
        <f>"091580446"</f>
        <v>091580446</v>
      </c>
      <c r="C762" s="2" t="s">
        <v>16</v>
      </c>
      <c r="D762" s="2" t="s">
        <v>2596</v>
      </c>
      <c r="E762" s="2" t="s">
        <v>181</v>
      </c>
      <c r="F762" s="2" t="s">
        <v>2597</v>
      </c>
      <c r="G762" s="2" t="s">
        <v>2598</v>
      </c>
      <c r="H762" s="2" t="s">
        <v>2598</v>
      </c>
      <c r="I762" s="2" t="s">
        <v>30</v>
      </c>
      <c r="J762" s="2" t="s">
        <v>628</v>
      </c>
      <c r="K762" s="2" t="str">
        <f>"20"</f>
        <v>20</v>
      </c>
      <c r="L762" s="2" t="str">
        <f>""</f>
        <v/>
      </c>
      <c r="M762" s="2" t="str">
        <f>"89-400"</f>
        <v>89-400</v>
      </c>
      <c r="N762" s="2" t="str">
        <f>"523882147"</f>
        <v>523882147</v>
      </c>
      <c r="O762" s="2" t="s">
        <v>2599</v>
      </c>
      <c r="P762" s="2" t="s">
        <v>121</v>
      </c>
    </row>
    <row r="763" spans="1:16" x14ac:dyDescent="0.25">
      <c r="A763" s="2">
        <v>10231</v>
      </c>
      <c r="B763" s="2" t="str">
        <f>"000734950"</f>
        <v>000734950</v>
      </c>
      <c r="C763" s="2" t="s">
        <v>16</v>
      </c>
      <c r="D763" s="2" t="s">
        <v>2596</v>
      </c>
      <c r="E763" s="2" t="s">
        <v>39</v>
      </c>
      <c r="F763" s="2" t="s">
        <v>2600</v>
      </c>
      <c r="G763" s="2" t="s">
        <v>2601</v>
      </c>
      <c r="H763" s="2" t="s">
        <v>2601</v>
      </c>
      <c r="I763" s="2" t="s">
        <v>30</v>
      </c>
      <c r="J763" s="2" t="s">
        <v>2045</v>
      </c>
      <c r="K763" s="2" t="str">
        <f>"23"</f>
        <v>23</v>
      </c>
      <c r="L763" s="2" t="str">
        <f>""</f>
        <v/>
      </c>
      <c r="M763" s="2" t="str">
        <f>"98-300"</f>
        <v>98-300</v>
      </c>
      <c r="N763" s="2" t="str">
        <f>"438434520"</f>
        <v>438434520</v>
      </c>
      <c r="O763" s="2" t="s">
        <v>2602</v>
      </c>
      <c r="P763" s="2" t="s">
        <v>121</v>
      </c>
    </row>
    <row r="764" spans="1:16" hidden="1" x14ac:dyDescent="0.25">
      <c r="A764">
        <v>16074</v>
      </c>
      <c r="B764" t="str">
        <f>"122696889"</f>
        <v>122696889</v>
      </c>
      <c r="C764" t="s">
        <v>16</v>
      </c>
      <c r="D764" t="s">
        <v>2603</v>
      </c>
      <c r="E764" t="s">
        <v>27</v>
      </c>
      <c r="F764" t="s">
        <v>468</v>
      </c>
      <c r="G764" t="s">
        <v>469</v>
      </c>
      <c r="H764" t="s">
        <v>469</v>
      </c>
      <c r="I764" t="s">
        <v>30</v>
      </c>
      <c r="J764" t="s">
        <v>2604</v>
      </c>
      <c r="K764" t="str">
        <f>"22b"</f>
        <v>22b</v>
      </c>
      <c r="L764" t="str">
        <f>""</f>
        <v/>
      </c>
      <c r="M764" t="str">
        <f>"34-730"</f>
        <v>34-730</v>
      </c>
      <c r="N764" t="str">
        <f>"185404242"</f>
        <v>185404242</v>
      </c>
      <c r="O764" t="s">
        <v>2605</v>
      </c>
      <c r="P764" t="s">
        <v>24</v>
      </c>
    </row>
    <row r="765" spans="1:16" x14ac:dyDescent="0.25">
      <c r="A765" s="2">
        <v>8065</v>
      </c>
      <c r="B765" s="2" t="str">
        <f>"001354830"</f>
        <v>001354830</v>
      </c>
      <c r="C765" s="2" t="s">
        <v>16</v>
      </c>
      <c r="D765" s="2" t="s">
        <v>2606</v>
      </c>
      <c r="E765" s="2" t="s">
        <v>117</v>
      </c>
      <c r="F765" s="2" t="s">
        <v>350</v>
      </c>
      <c r="G765" s="2" t="s">
        <v>350</v>
      </c>
      <c r="H765" s="2" t="s">
        <v>350</v>
      </c>
      <c r="I765" s="2" t="s">
        <v>30</v>
      </c>
      <c r="J765" s="2" t="s">
        <v>1114</v>
      </c>
      <c r="K765" s="2" t="str">
        <f>"31"</f>
        <v>31</v>
      </c>
      <c r="L765" s="2" t="str">
        <f>""</f>
        <v/>
      </c>
      <c r="M765" s="2" t="str">
        <f>"44-200"</f>
        <v>44-200</v>
      </c>
      <c r="N765" s="2" t="str">
        <f>"324311267"</f>
        <v>324311267</v>
      </c>
      <c r="O765" s="2" t="s">
        <v>2607</v>
      </c>
      <c r="P765" s="2" t="s">
        <v>121</v>
      </c>
    </row>
    <row r="766" spans="1:16" hidden="1" x14ac:dyDescent="0.25">
      <c r="A766">
        <v>132458</v>
      </c>
      <c r="B766" t="str">
        <f>"365644513"</f>
        <v>365644513</v>
      </c>
      <c r="C766" t="s">
        <v>16</v>
      </c>
      <c r="D766" t="s">
        <v>2608</v>
      </c>
      <c r="E766" t="s">
        <v>80</v>
      </c>
      <c r="F766" t="s">
        <v>571</v>
      </c>
      <c r="G766" t="s">
        <v>571</v>
      </c>
      <c r="H766" t="s">
        <v>571</v>
      </c>
      <c r="I766" t="s">
        <v>30</v>
      </c>
      <c r="J766" t="s">
        <v>1027</v>
      </c>
      <c r="K766" t="str">
        <f>"67"</f>
        <v>67</v>
      </c>
      <c r="L766" t="str">
        <f>""</f>
        <v/>
      </c>
      <c r="M766" t="str">
        <f>"81-405"</f>
        <v>81-405</v>
      </c>
      <c r="N766" t="str">
        <f>"603367709"</f>
        <v>603367709</v>
      </c>
      <c r="O766" t="s">
        <v>2609</v>
      </c>
      <c r="P766" t="s">
        <v>24</v>
      </c>
    </row>
    <row r="767" spans="1:16" x14ac:dyDescent="0.25">
      <c r="A767" s="2">
        <v>5663</v>
      </c>
      <c r="B767" s="2" t="str">
        <f>"000707863"</f>
        <v>000707863</v>
      </c>
      <c r="C767" s="2" t="s">
        <v>16</v>
      </c>
      <c r="D767" s="2" t="s">
        <v>2610</v>
      </c>
      <c r="E767" s="2" t="s">
        <v>112</v>
      </c>
      <c r="F767" s="2" t="s">
        <v>1811</v>
      </c>
      <c r="G767" s="2" t="s">
        <v>1811</v>
      </c>
      <c r="H767" s="2" t="s">
        <v>1811</v>
      </c>
      <c r="I767" s="2" t="s">
        <v>30</v>
      </c>
      <c r="J767" s="2" t="s">
        <v>360</v>
      </c>
      <c r="K767" s="2" t="str">
        <f>"24"</f>
        <v>24</v>
      </c>
      <c r="L767" s="2" t="str">
        <f>"24"</f>
        <v>24</v>
      </c>
      <c r="M767" s="2" t="str">
        <f>"22-400"</f>
        <v>22-400</v>
      </c>
      <c r="N767" s="2" t="str">
        <f>"846395996"</f>
        <v>846395996</v>
      </c>
      <c r="O767" s="2" t="s">
        <v>2611</v>
      </c>
      <c r="P767" s="2" t="s">
        <v>121</v>
      </c>
    </row>
    <row r="768" spans="1:16" x14ac:dyDescent="0.25">
      <c r="A768" s="2">
        <v>54143</v>
      </c>
      <c r="B768" s="2" t="str">
        <f>"012726992"</f>
        <v>012726992</v>
      </c>
      <c r="C768" s="2" t="s">
        <v>16</v>
      </c>
      <c r="D768" s="2" t="s">
        <v>2612</v>
      </c>
      <c r="E768" s="2" t="s">
        <v>18</v>
      </c>
      <c r="F768" s="2" t="s">
        <v>19</v>
      </c>
      <c r="G768" s="2" t="s">
        <v>149</v>
      </c>
      <c r="H768" s="2" t="s">
        <v>149</v>
      </c>
      <c r="I768" s="2" t="s">
        <v>21</v>
      </c>
      <c r="J768" s="2" t="s">
        <v>2613</v>
      </c>
      <c r="K768" s="2" t="str">
        <f>"44"</f>
        <v>44</v>
      </c>
      <c r="L768" s="2" t="str">
        <f>""</f>
        <v/>
      </c>
      <c r="M768" s="2" t="str">
        <f>"03-042"</f>
        <v>03-042</v>
      </c>
      <c r="N768" s="2" t="str">
        <f>"228141061"</f>
        <v>228141061</v>
      </c>
      <c r="O768" s="2" t="s">
        <v>2614</v>
      </c>
      <c r="P768" s="2" t="s">
        <v>121</v>
      </c>
    </row>
    <row r="769" spans="1:16" x14ac:dyDescent="0.25">
      <c r="A769" s="2">
        <v>52679</v>
      </c>
      <c r="B769" s="2" t="str">
        <f>"230918010"</f>
        <v>230918010</v>
      </c>
      <c r="C769" s="2" t="s">
        <v>16</v>
      </c>
      <c r="D769" s="2" t="s">
        <v>2615</v>
      </c>
      <c r="E769" s="2" t="s">
        <v>64</v>
      </c>
      <c r="F769" s="2" t="s">
        <v>2616</v>
      </c>
      <c r="G769" s="2" t="s">
        <v>2617</v>
      </c>
      <c r="H769" s="2" t="s">
        <v>2617</v>
      </c>
      <c r="I769" s="2" t="s">
        <v>30</v>
      </c>
      <c r="J769" s="2" t="s">
        <v>1124</v>
      </c>
      <c r="K769" s="2" t="str">
        <f>"16"</f>
        <v>16</v>
      </c>
      <c r="L769" s="2" t="str">
        <f>""</f>
        <v/>
      </c>
      <c r="M769" s="2" t="str">
        <f>"59-620"</f>
        <v>59-620</v>
      </c>
      <c r="N769" s="2" t="str">
        <f>"757813268"</f>
        <v>757813268</v>
      </c>
      <c r="O769" s="2" t="s">
        <v>2618</v>
      </c>
      <c r="P769" s="2" t="s">
        <v>121</v>
      </c>
    </row>
    <row r="770" spans="1:16" x14ac:dyDescent="0.25">
      <c r="A770" s="2">
        <v>88859</v>
      </c>
      <c r="B770" s="2" t="str">
        <f>"000739082"</f>
        <v>000739082</v>
      </c>
      <c r="C770" s="2" t="s">
        <v>16</v>
      </c>
      <c r="D770" s="2" t="s">
        <v>2620</v>
      </c>
      <c r="E770" s="2" t="s">
        <v>97</v>
      </c>
      <c r="F770" s="2" t="s">
        <v>2621</v>
      </c>
      <c r="G770" s="2" t="s">
        <v>2622</v>
      </c>
      <c r="H770" s="2" t="s">
        <v>2622</v>
      </c>
      <c r="I770" s="2" t="s">
        <v>30</v>
      </c>
      <c r="J770" s="2" t="s">
        <v>396</v>
      </c>
      <c r="K770" s="2" t="str">
        <f>"10A"</f>
        <v>10A</v>
      </c>
      <c r="L770" s="2" t="str">
        <f>""</f>
        <v/>
      </c>
      <c r="M770" s="2" t="str">
        <f>"17-200"</f>
        <v>17-200</v>
      </c>
      <c r="N770" s="2" t="str">
        <f>"856822305"</f>
        <v>856822305</v>
      </c>
      <c r="O770" s="2" t="s">
        <v>2623</v>
      </c>
      <c r="P770" s="2" t="s">
        <v>121</v>
      </c>
    </row>
    <row r="771" spans="1:16" x14ac:dyDescent="0.25">
      <c r="A771" s="2">
        <v>14602</v>
      </c>
      <c r="B771" s="2" t="str">
        <f>"000739194"</f>
        <v>000739194</v>
      </c>
      <c r="C771" s="2" t="s">
        <v>16</v>
      </c>
      <c r="D771" s="2" t="s">
        <v>2624</v>
      </c>
      <c r="E771" s="2" t="s">
        <v>112</v>
      </c>
      <c r="F771" s="2" t="s">
        <v>2625</v>
      </c>
      <c r="G771" s="2" t="s">
        <v>2626</v>
      </c>
      <c r="H771" s="2" t="s">
        <v>2626</v>
      </c>
      <c r="I771" s="2" t="s">
        <v>30</v>
      </c>
      <c r="J771" s="2" t="s">
        <v>2252</v>
      </c>
      <c r="K771" s="2" t="str">
        <f>"3"</f>
        <v>3</v>
      </c>
      <c r="L771" s="2" t="str">
        <f>""</f>
        <v/>
      </c>
      <c r="M771" s="2" t="str">
        <f>"22-300"</f>
        <v>22-300</v>
      </c>
      <c r="N771" s="2" t="str">
        <f>"825763608"</f>
        <v>825763608</v>
      </c>
      <c r="O771" s="2" t="s">
        <v>2627</v>
      </c>
      <c r="P771" s="2" t="s">
        <v>121</v>
      </c>
    </row>
    <row r="772" spans="1:16" x14ac:dyDescent="0.25">
      <c r="A772" s="2">
        <v>16756</v>
      </c>
      <c r="B772" s="2" t="str">
        <f>"001030196"</f>
        <v>001030196</v>
      </c>
      <c r="C772" s="2" t="s">
        <v>16</v>
      </c>
      <c r="D772" s="2" t="s">
        <v>2628</v>
      </c>
      <c r="E772" s="2" t="s">
        <v>101</v>
      </c>
      <c r="F772" s="2" t="s">
        <v>1408</v>
      </c>
      <c r="G772" s="2" t="s">
        <v>1409</v>
      </c>
      <c r="H772" s="2" t="s">
        <v>1409</v>
      </c>
      <c r="I772" s="2" t="s">
        <v>30</v>
      </c>
      <c r="J772" s="2" t="s">
        <v>138</v>
      </c>
      <c r="K772" s="2" t="str">
        <f>"3"</f>
        <v>3</v>
      </c>
      <c r="L772" s="2" t="str">
        <f>""</f>
        <v/>
      </c>
      <c r="M772" s="2" t="str">
        <f>"37-100"</f>
        <v>37-100</v>
      </c>
      <c r="N772" s="2" t="str">
        <f>"172253307"</f>
        <v>172253307</v>
      </c>
      <c r="O772" s="2" t="s">
        <v>2629</v>
      </c>
      <c r="P772" s="2" t="s">
        <v>121</v>
      </c>
    </row>
    <row r="773" spans="1:16" x14ac:dyDescent="0.25">
      <c r="A773" s="2">
        <v>43888</v>
      </c>
      <c r="B773" s="2" t="str">
        <f>"000713770"</f>
        <v>000713770</v>
      </c>
      <c r="C773" s="2" t="s">
        <v>16</v>
      </c>
      <c r="D773" s="2" t="s">
        <v>2630</v>
      </c>
      <c r="E773" s="2" t="s">
        <v>18</v>
      </c>
      <c r="F773" s="2" t="s">
        <v>997</v>
      </c>
      <c r="G773" s="2" t="s">
        <v>998</v>
      </c>
      <c r="H773" s="2" t="s">
        <v>998</v>
      </c>
      <c r="I773" s="2" t="s">
        <v>30</v>
      </c>
      <c r="J773" s="2" t="s">
        <v>396</v>
      </c>
      <c r="K773" s="2" t="str">
        <f>"6"</f>
        <v>6</v>
      </c>
      <c r="L773" s="2" t="str">
        <f>""</f>
        <v/>
      </c>
      <c r="M773" s="2" t="str">
        <f>"08-200"</f>
        <v>08-200</v>
      </c>
      <c r="N773" s="2" t="str">
        <f>"833573788"</f>
        <v>833573788</v>
      </c>
      <c r="O773" s="2" t="s">
        <v>2631</v>
      </c>
      <c r="P773" s="2" t="s">
        <v>121</v>
      </c>
    </row>
    <row r="774" spans="1:16" x14ac:dyDescent="0.25">
      <c r="A774" s="2">
        <v>86925</v>
      </c>
      <c r="B774" s="2" t="str">
        <f>"071009490"</f>
        <v>071009490</v>
      </c>
      <c r="C774" s="2" t="s">
        <v>16</v>
      </c>
      <c r="D774" s="2" t="s">
        <v>2632</v>
      </c>
      <c r="E774" s="2" t="s">
        <v>117</v>
      </c>
      <c r="F774" s="2" t="s">
        <v>2633</v>
      </c>
      <c r="G774" s="2" t="s">
        <v>2634</v>
      </c>
      <c r="H774" s="2" t="s">
        <v>2634</v>
      </c>
      <c r="I774" s="2" t="s">
        <v>68</v>
      </c>
      <c r="J774" s="2" t="s">
        <v>402</v>
      </c>
      <c r="K774" s="2" t="str">
        <f>"17"</f>
        <v>17</v>
      </c>
      <c r="L774" s="2" t="str">
        <f>""</f>
        <v/>
      </c>
      <c r="M774" s="2" t="str">
        <f>"34-360"</f>
        <v>34-360</v>
      </c>
      <c r="N774" s="2" t="str">
        <f>"338642125"</f>
        <v>338642125</v>
      </c>
      <c r="O774" s="2" t="s">
        <v>2635</v>
      </c>
      <c r="P774" s="2" t="s">
        <v>121</v>
      </c>
    </row>
    <row r="775" spans="1:16" x14ac:dyDescent="0.25">
      <c r="A775" s="2">
        <v>18493</v>
      </c>
      <c r="B775" s="2" t="str">
        <f>"492731120"</f>
        <v>492731120</v>
      </c>
      <c r="C775" s="2" t="s">
        <v>16</v>
      </c>
      <c r="D775" s="2" t="s">
        <v>2637</v>
      </c>
      <c r="E775" s="2" t="s">
        <v>27</v>
      </c>
      <c r="F775" s="2" t="s">
        <v>622</v>
      </c>
      <c r="G775" s="2" t="s">
        <v>623</v>
      </c>
      <c r="H775" s="2" t="s">
        <v>623</v>
      </c>
      <c r="I775" s="2" t="s">
        <v>30</v>
      </c>
      <c r="J775" s="2" t="s">
        <v>2431</v>
      </c>
      <c r="K775" s="2" t="str">
        <f>"2"</f>
        <v>2</v>
      </c>
      <c r="L775" s="2" t="str">
        <f>""</f>
        <v/>
      </c>
      <c r="M775" s="2" t="str">
        <f>"34-700"</f>
        <v>34-700</v>
      </c>
      <c r="N775" s="2" t="str">
        <f>"182677604"</f>
        <v>182677604</v>
      </c>
      <c r="O775" s="2" t="s">
        <v>2638</v>
      </c>
      <c r="P775" s="2" t="s">
        <v>121</v>
      </c>
    </row>
    <row r="776" spans="1:16" x14ac:dyDescent="0.25">
      <c r="A776" s="2">
        <v>9996</v>
      </c>
      <c r="B776" s="2" t="str">
        <f>"000786621"</f>
        <v>000786621</v>
      </c>
      <c r="C776" s="2" t="s">
        <v>16</v>
      </c>
      <c r="D776" s="2" t="s">
        <v>2639</v>
      </c>
      <c r="E776" s="2" t="s">
        <v>80</v>
      </c>
      <c r="F776" s="2" t="s">
        <v>81</v>
      </c>
      <c r="G776" s="2" t="s">
        <v>81</v>
      </c>
      <c r="H776" s="2" t="s">
        <v>81</v>
      </c>
      <c r="I776" s="2" t="s">
        <v>30</v>
      </c>
      <c r="J776" s="2" t="s">
        <v>197</v>
      </c>
      <c r="K776" s="2" t="str">
        <f>"9"</f>
        <v>9</v>
      </c>
      <c r="L776" s="2" t="str">
        <f>""</f>
        <v/>
      </c>
      <c r="M776" s="2" t="str">
        <f>"76-200"</f>
        <v>76-200</v>
      </c>
      <c r="N776" s="2" t="str">
        <f>"598456020"</f>
        <v>598456020</v>
      </c>
      <c r="O776" s="2" t="s">
        <v>2640</v>
      </c>
      <c r="P776" s="2" t="s">
        <v>121</v>
      </c>
    </row>
    <row r="777" spans="1:16" x14ac:dyDescent="0.25">
      <c r="A777" s="2">
        <v>17390</v>
      </c>
      <c r="B777" s="2" t="str">
        <f>"933033052"</f>
        <v>933033052</v>
      </c>
      <c r="C777" s="2" t="s">
        <v>16</v>
      </c>
      <c r="D777" s="2" t="s">
        <v>2641</v>
      </c>
      <c r="E777" s="2" t="s">
        <v>64</v>
      </c>
      <c r="F777" s="2" t="s">
        <v>1130</v>
      </c>
      <c r="G777" s="2" t="s">
        <v>1131</v>
      </c>
      <c r="H777" s="2" t="s">
        <v>1131</v>
      </c>
      <c r="I777" s="2" t="s">
        <v>30</v>
      </c>
      <c r="J777" s="2" t="s">
        <v>2642</v>
      </c>
      <c r="K777" s="2" t="str">
        <f>"1"</f>
        <v>1</v>
      </c>
      <c r="L777" s="2" t="str">
        <f>""</f>
        <v/>
      </c>
      <c r="M777" s="2" t="str">
        <f>"55-100"</f>
        <v>55-100</v>
      </c>
      <c r="N777" s="2" t="str">
        <f>"717381000"</f>
        <v>717381000</v>
      </c>
      <c r="O777" s="2" t="s">
        <v>2643</v>
      </c>
      <c r="P777" s="2" t="s">
        <v>121</v>
      </c>
    </row>
    <row r="778" spans="1:16" x14ac:dyDescent="0.25">
      <c r="A778" s="2">
        <v>48928</v>
      </c>
      <c r="B778" s="2" t="str">
        <f>"001082260"</f>
        <v>001082260</v>
      </c>
      <c r="C778" s="2" t="s">
        <v>16</v>
      </c>
      <c r="D778" s="2" t="s">
        <v>2644</v>
      </c>
      <c r="E778" s="2" t="s">
        <v>181</v>
      </c>
      <c r="F778" s="2" t="s">
        <v>2645</v>
      </c>
      <c r="G778" s="2" t="s">
        <v>2646</v>
      </c>
      <c r="H778" s="2" t="s">
        <v>2646</v>
      </c>
      <c r="I778" s="2" t="s">
        <v>30</v>
      </c>
      <c r="J778" s="2" t="s">
        <v>514</v>
      </c>
      <c r="K778" s="2" t="str">
        <f>"35"</f>
        <v>35</v>
      </c>
      <c r="L778" s="2" t="str">
        <f>""</f>
        <v/>
      </c>
      <c r="M778" s="2" t="str">
        <f>"87-200"</f>
        <v>87-200</v>
      </c>
      <c r="N778" s="2" t="str">
        <f>"566882175"</f>
        <v>566882175</v>
      </c>
      <c r="O778" s="2" t="s">
        <v>2647</v>
      </c>
      <c r="P778" s="2" t="s">
        <v>121</v>
      </c>
    </row>
    <row r="779" spans="1:16" x14ac:dyDescent="0.25">
      <c r="A779" s="2">
        <v>23687</v>
      </c>
      <c r="B779" s="2" t="str">
        <f>"000705930"</f>
        <v>000705930</v>
      </c>
      <c r="C779" s="2" t="s">
        <v>16</v>
      </c>
      <c r="D779" s="2" t="s">
        <v>2648</v>
      </c>
      <c r="E779" s="2" t="s">
        <v>240</v>
      </c>
      <c r="F779" s="2" t="s">
        <v>2649</v>
      </c>
      <c r="G779" s="2" t="s">
        <v>2650</v>
      </c>
      <c r="H779" s="2" t="s">
        <v>2650</v>
      </c>
      <c r="I779" s="2" t="s">
        <v>30</v>
      </c>
      <c r="J779" s="2" t="s">
        <v>2651</v>
      </c>
      <c r="K779" s="2" t="str">
        <f>"3"</f>
        <v>3</v>
      </c>
      <c r="L779" s="2" t="str">
        <f>""</f>
        <v/>
      </c>
      <c r="M779" s="2" t="str">
        <f>"66-200"</f>
        <v>66-200</v>
      </c>
      <c r="N779" s="2" t="str">
        <f>"684578801"</f>
        <v>684578801</v>
      </c>
      <c r="O779" s="2" t="s">
        <v>2652</v>
      </c>
      <c r="P779" s="2" t="s">
        <v>121</v>
      </c>
    </row>
    <row r="780" spans="1:16" x14ac:dyDescent="0.25">
      <c r="A780" s="2">
        <v>4579</v>
      </c>
      <c r="B780" s="2" t="str">
        <f>"000218940"</f>
        <v>000218940</v>
      </c>
      <c r="C780" s="2" t="s">
        <v>16</v>
      </c>
      <c r="D780" s="2" t="s">
        <v>2653</v>
      </c>
      <c r="E780" s="2" t="s">
        <v>80</v>
      </c>
      <c r="F780" s="2" t="s">
        <v>571</v>
      </c>
      <c r="G780" s="2" t="s">
        <v>571</v>
      </c>
      <c r="H780" s="2" t="s">
        <v>571</v>
      </c>
      <c r="I780" s="2" t="s">
        <v>30</v>
      </c>
      <c r="J780" s="2" t="s">
        <v>2654</v>
      </c>
      <c r="K780" s="2" t="str">
        <f>"10"</f>
        <v>10</v>
      </c>
      <c r="L780" s="2" t="str">
        <f>""</f>
        <v/>
      </c>
      <c r="M780" s="2" t="str">
        <f>"81-597"</f>
        <v>81-597</v>
      </c>
      <c r="N780" s="2" t="str">
        <f>"586220942"</f>
        <v>586220942</v>
      </c>
      <c r="O780" s="2" t="s">
        <v>2655</v>
      </c>
      <c r="P780" s="2" t="s">
        <v>121</v>
      </c>
    </row>
    <row r="781" spans="1:16" x14ac:dyDescent="0.25">
      <c r="A781" s="2">
        <v>3976</v>
      </c>
      <c r="B781" s="2" t="str">
        <f>"000957838"</f>
        <v>000957838</v>
      </c>
      <c r="C781" s="2" t="s">
        <v>16</v>
      </c>
      <c r="D781" s="2" t="s">
        <v>2656</v>
      </c>
      <c r="E781" s="2" t="s">
        <v>80</v>
      </c>
      <c r="F781" s="2" t="s">
        <v>571</v>
      </c>
      <c r="G781" s="2" t="s">
        <v>571</v>
      </c>
      <c r="H781" s="2" t="s">
        <v>571</v>
      </c>
      <c r="I781" s="2" t="s">
        <v>30</v>
      </c>
      <c r="J781" s="2" t="s">
        <v>2657</v>
      </c>
      <c r="K781" s="2" t="str">
        <f>"227"</f>
        <v>227</v>
      </c>
      <c r="L781" s="2" t="str">
        <f>""</f>
        <v/>
      </c>
      <c r="M781" s="2" t="str">
        <f>"81-007"</f>
        <v>81-007</v>
      </c>
      <c r="N781" s="2" t="str">
        <f>"586233139"</f>
        <v>586233139</v>
      </c>
      <c r="O781" s="2" t="s">
        <v>2658</v>
      </c>
      <c r="P781" s="2" t="s">
        <v>121</v>
      </c>
    </row>
    <row r="782" spans="1:16" x14ac:dyDescent="0.25">
      <c r="A782" s="2">
        <v>3958</v>
      </c>
      <c r="B782" s="2" t="str">
        <f>"001203350"</f>
        <v>001203350</v>
      </c>
      <c r="C782" s="2" t="s">
        <v>16</v>
      </c>
      <c r="D782" s="2" t="s">
        <v>2659</v>
      </c>
      <c r="E782" s="2" t="s">
        <v>80</v>
      </c>
      <c r="F782" s="2" t="s">
        <v>571</v>
      </c>
      <c r="G782" s="2" t="s">
        <v>571</v>
      </c>
      <c r="H782" s="2" t="s">
        <v>571</v>
      </c>
      <c r="I782" s="2" t="s">
        <v>30</v>
      </c>
      <c r="J782" s="2" t="s">
        <v>2660</v>
      </c>
      <c r="K782" s="2" t="str">
        <f>"207"</f>
        <v>207</v>
      </c>
      <c r="L782" s="2" t="str">
        <f>""</f>
        <v/>
      </c>
      <c r="M782" s="2" t="str">
        <f>"81-155"</f>
        <v>81-155</v>
      </c>
      <c r="N782" s="2" t="str">
        <f>"586253502"</f>
        <v>586253502</v>
      </c>
      <c r="O782" s="2" t="s">
        <v>2661</v>
      </c>
      <c r="P782" s="2" t="s">
        <v>121</v>
      </c>
    </row>
    <row r="783" spans="1:16" x14ac:dyDescent="0.25">
      <c r="A783" s="2">
        <v>56387</v>
      </c>
      <c r="B783" s="2" t="str">
        <f>"000824505"</f>
        <v>000824505</v>
      </c>
      <c r="C783" s="2" t="s">
        <v>16</v>
      </c>
      <c r="D783" s="2" t="s">
        <v>2662</v>
      </c>
      <c r="E783" s="2" t="s">
        <v>240</v>
      </c>
      <c r="F783" s="2" t="s">
        <v>2663</v>
      </c>
      <c r="G783" s="2" t="s">
        <v>2664</v>
      </c>
      <c r="H783" s="2" t="s">
        <v>2664</v>
      </c>
      <c r="I783" s="2" t="s">
        <v>30</v>
      </c>
      <c r="J783" s="2" t="s">
        <v>509</v>
      </c>
      <c r="K783" s="2" t="str">
        <f>"31"</f>
        <v>31</v>
      </c>
      <c r="L783" s="2" t="str">
        <f>""</f>
        <v/>
      </c>
      <c r="M783" s="2" t="str">
        <f>"66-530"</f>
        <v>66-530</v>
      </c>
      <c r="N783" s="2" t="str">
        <f>"0957620982"</f>
        <v>0957620982</v>
      </c>
      <c r="O783" s="2" t="s">
        <v>2665</v>
      </c>
      <c r="P783" s="2" t="s">
        <v>121</v>
      </c>
    </row>
    <row r="784" spans="1:16" x14ac:dyDescent="0.25">
      <c r="A784" s="2">
        <v>20124</v>
      </c>
      <c r="B784" s="2" t="str">
        <f>"001018284"</f>
        <v>001018284</v>
      </c>
      <c r="C784" s="2" t="s">
        <v>16</v>
      </c>
      <c r="D784" s="2" t="s">
        <v>2667</v>
      </c>
      <c r="E784" s="2" t="s">
        <v>27</v>
      </c>
      <c r="F784" s="2" t="s">
        <v>622</v>
      </c>
      <c r="G784" s="2" t="s">
        <v>680</v>
      </c>
      <c r="H784" s="2" t="s">
        <v>680</v>
      </c>
      <c r="I784" s="2" t="s">
        <v>30</v>
      </c>
      <c r="J784" s="2" t="s">
        <v>1332</v>
      </c>
      <c r="K784" s="2" t="str">
        <f>"1"</f>
        <v>1</v>
      </c>
      <c r="L784" s="2" t="str">
        <f>""</f>
        <v/>
      </c>
      <c r="M784" s="2" t="str">
        <f>"34-400"</f>
        <v>34-400</v>
      </c>
      <c r="N784" s="2" t="str">
        <f>"182663568"</f>
        <v>182663568</v>
      </c>
      <c r="O784" s="2" t="s">
        <v>2668</v>
      </c>
      <c r="P784" s="2" t="s">
        <v>121</v>
      </c>
    </row>
    <row r="785" spans="1:16" x14ac:dyDescent="0.25">
      <c r="A785" s="2">
        <v>74531</v>
      </c>
      <c r="B785" s="2" t="str">
        <f>"000722199"</f>
        <v>000722199</v>
      </c>
      <c r="C785" s="2" t="s">
        <v>16</v>
      </c>
      <c r="D785" s="2" t="s">
        <v>2669</v>
      </c>
      <c r="E785" s="2" t="s">
        <v>117</v>
      </c>
      <c r="F785" s="2" t="s">
        <v>2670</v>
      </c>
      <c r="G785" s="2" t="s">
        <v>2671</v>
      </c>
      <c r="H785" s="2" t="s">
        <v>2671</v>
      </c>
      <c r="I785" s="2" t="s">
        <v>30</v>
      </c>
      <c r="J785" s="2" t="s">
        <v>2672</v>
      </c>
      <c r="K785" s="2" t="str">
        <f>"14"</f>
        <v>14</v>
      </c>
      <c r="L785" s="2" t="str">
        <f>""</f>
        <v/>
      </c>
      <c r="M785" s="2" t="str">
        <f>"47-400"</f>
        <v>47-400</v>
      </c>
      <c r="N785" s="2" t="str">
        <f>"324153547"</f>
        <v>324153547</v>
      </c>
      <c r="O785" s="2" t="s">
        <v>2673</v>
      </c>
      <c r="P785" s="2" t="s">
        <v>121</v>
      </c>
    </row>
    <row r="786" spans="1:16" x14ac:dyDescent="0.25">
      <c r="A786" s="2">
        <v>56385</v>
      </c>
      <c r="B786" s="2" t="str">
        <f>"000711936"</f>
        <v>000711936</v>
      </c>
      <c r="C786" s="2" t="s">
        <v>16</v>
      </c>
      <c r="D786" s="2" t="s">
        <v>2674</v>
      </c>
      <c r="E786" s="2" t="s">
        <v>240</v>
      </c>
      <c r="F786" s="2" t="s">
        <v>2663</v>
      </c>
      <c r="G786" s="2" t="s">
        <v>2666</v>
      </c>
      <c r="H786" s="2" t="s">
        <v>2666</v>
      </c>
      <c r="I786" s="2" t="s">
        <v>30</v>
      </c>
      <c r="J786" s="2" t="s">
        <v>2675</v>
      </c>
      <c r="K786" s="2" t="str">
        <f>"14"</f>
        <v>14</v>
      </c>
      <c r="L786" s="2" t="str">
        <f>""</f>
        <v/>
      </c>
      <c r="M786" s="2" t="str">
        <f>"66-500"</f>
        <v>66-500</v>
      </c>
      <c r="N786" s="2" t="str">
        <f>"0957632247"</f>
        <v>0957632247</v>
      </c>
      <c r="O786" s="2" t="s">
        <v>2676</v>
      </c>
      <c r="P786" s="2" t="s">
        <v>121</v>
      </c>
    </row>
    <row r="787" spans="1:16" x14ac:dyDescent="0.25">
      <c r="A787" s="2">
        <v>9729</v>
      </c>
      <c r="B787" s="2" t="str">
        <f>"672894758"</f>
        <v>672894758</v>
      </c>
      <c r="C787" s="2" t="s">
        <v>16</v>
      </c>
      <c r="D787" s="2" t="s">
        <v>2677</v>
      </c>
      <c r="E787" s="2" t="s">
        <v>18</v>
      </c>
      <c r="F787" s="2" t="s">
        <v>2678</v>
      </c>
      <c r="G787" s="2" t="s">
        <v>2679</v>
      </c>
      <c r="H787" s="2" t="s">
        <v>2679</v>
      </c>
      <c r="I787" s="2" t="s">
        <v>30</v>
      </c>
      <c r="J787" s="2" t="s">
        <v>509</v>
      </c>
      <c r="K787" s="2" t="str">
        <f>"39"</f>
        <v>39</v>
      </c>
      <c r="L787" s="2" t="str">
        <f>""</f>
        <v/>
      </c>
      <c r="M787" s="2" t="str">
        <f>"26-700"</f>
        <v>26-700</v>
      </c>
      <c r="N787" s="2" t="str">
        <f>"486762613"</f>
        <v>486762613</v>
      </c>
      <c r="O787" s="2" t="s">
        <v>2680</v>
      </c>
      <c r="P787" s="2" t="s">
        <v>121</v>
      </c>
    </row>
    <row r="788" spans="1:16" x14ac:dyDescent="0.25">
      <c r="A788" s="2">
        <v>84886</v>
      </c>
      <c r="B788" s="2" t="str">
        <f>"673008948"</f>
        <v>673008948</v>
      </c>
      <c r="C788" s="2" t="s">
        <v>16</v>
      </c>
      <c r="D788" s="2" t="s">
        <v>2681</v>
      </c>
      <c r="E788" s="2" t="s">
        <v>18</v>
      </c>
      <c r="F788" s="2" t="s">
        <v>2682</v>
      </c>
      <c r="G788" s="2" t="s">
        <v>2683</v>
      </c>
      <c r="H788" s="2" t="s">
        <v>2683</v>
      </c>
      <c r="I788" s="2" t="s">
        <v>30</v>
      </c>
      <c r="J788" s="2" t="s">
        <v>1005</v>
      </c>
      <c r="K788" s="2" t="str">
        <f>"84"</f>
        <v>84</v>
      </c>
      <c r="L788" s="2" t="str">
        <f>""</f>
        <v/>
      </c>
      <c r="M788" s="2" t="str">
        <f>"26-800"</f>
        <v>26-800</v>
      </c>
      <c r="N788" s="2" t="str">
        <f>"486133078"</f>
        <v>486133078</v>
      </c>
      <c r="O788" s="2" t="s">
        <v>2684</v>
      </c>
      <c r="P788" s="2" t="s">
        <v>121</v>
      </c>
    </row>
    <row r="789" spans="1:16" x14ac:dyDescent="0.25">
      <c r="A789" s="2">
        <v>41008</v>
      </c>
      <c r="B789" s="2" t="str">
        <f>"001011661"</f>
        <v>001011661</v>
      </c>
      <c r="C789" s="2" t="s">
        <v>16</v>
      </c>
      <c r="D789" s="2" t="s">
        <v>2681</v>
      </c>
      <c r="E789" s="2" t="s">
        <v>80</v>
      </c>
      <c r="F789" s="2" t="s">
        <v>2685</v>
      </c>
      <c r="G789" s="2" t="s">
        <v>2686</v>
      </c>
      <c r="H789" s="2" t="s">
        <v>2686</v>
      </c>
      <c r="I789" s="2" t="s">
        <v>30</v>
      </c>
      <c r="J789" s="2" t="s">
        <v>2687</v>
      </c>
      <c r="K789" s="2" t="str">
        <f>"32"</f>
        <v>32</v>
      </c>
      <c r="L789" s="2" t="str">
        <f>""</f>
        <v/>
      </c>
      <c r="M789" s="2" t="str">
        <f>"82-200"</f>
        <v>82-200</v>
      </c>
      <c r="N789" s="2" t="str">
        <f>"552729803"</f>
        <v>552729803</v>
      </c>
      <c r="O789" s="2" t="s">
        <v>2688</v>
      </c>
      <c r="P789" s="2" t="s">
        <v>121</v>
      </c>
    </row>
    <row r="790" spans="1:16" x14ac:dyDescent="0.25">
      <c r="A790" s="2">
        <v>20552</v>
      </c>
      <c r="B790" s="2" t="str">
        <f>"020066779"</f>
        <v>020066779</v>
      </c>
      <c r="C790" s="2" t="s">
        <v>16</v>
      </c>
      <c r="D790" s="2" t="s">
        <v>2681</v>
      </c>
      <c r="E790" s="2" t="s">
        <v>64</v>
      </c>
      <c r="F790" s="2" t="s">
        <v>1499</v>
      </c>
      <c r="G790" s="2" t="s">
        <v>2689</v>
      </c>
      <c r="H790" s="2" t="s">
        <v>2689</v>
      </c>
      <c r="I790" s="2" t="s">
        <v>30</v>
      </c>
      <c r="J790" s="2" t="s">
        <v>43</v>
      </c>
      <c r="K790" s="2" t="str">
        <f>"2"</f>
        <v>2</v>
      </c>
      <c r="L790" s="2" t="str">
        <f>""</f>
        <v/>
      </c>
      <c r="M790" s="2" t="str">
        <f>"55-300"</f>
        <v>55-300</v>
      </c>
      <c r="N790" s="2" t="str">
        <f>"713173868"</f>
        <v>713173868</v>
      </c>
      <c r="O790" s="2" t="s">
        <v>2690</v>
      </c>
      <c r="P790" s="2" t="s">
        <v>121</v>
      </c>
    </row>
    <row r="791" spans="1:16" x14ac:dyDescent="0.25">
      <c r="A791" s="2">
        <v>10019</v>
      </c>
      <c r="B791" s="2" t="str">
        <f>"001082253"</f>
        <v>001082253</v>
      </c>
      <c r="C791" s="2" t="s">
        <v>16</v>
      </c>
      <c r="D791" s="2" t="s">
        <v>2681</v>
      </c>
      <c r="E791" s="2" t="s">
        <v>389</v>
      </c>
      <c r="F791" s="2" t="s">
        <v>2691</v>
      </c>
      <c r="G791" s="2" t="s">
        <v>2692</v>
      </c>
      <c r="H791" s="2" t="s">
        <v>2692</v>
      </c>
      <c r="I791" s="2" t="s">
        <v>30</v>
      </c>
      <c r="J791" s="2" t="s">
        <v>1114</v>
      </c>
      <c r="K791" s="2" t="str">
        <f>"25"</f>
        <v>25</v>
      </c>
      <c r="L791" s="2" t="str">
        <f>""</f>
        <v/>
      </c>
      <c r="M791" s="2" t="str">
        <f>"13-300"</f>
        <v>13-300</v>
      </c>
      <c r="N791" s="2" t="str">
        <f>"564726038"</f>
        <v>564726038</v>
      </c>
      <c r="O791" s="2" t="s">
        <v>2693</v>
      </c>
      <c r="P791" s="2" t="s">
        <v>121</v>
      </c>
    </row>
    <row r="792" spans="1:16" x14ac:dyDescent="0.25">
      <c r="A792" s="2">
        <v>44081</v>
      </c>
      <c r="B792" s="2" t="str">
        <f>"000695798"</f>
        <v>000695798</v>
      </c>
      <c r="C792" s="2" t="s">
        <v>16</v>
      </c>
      <c r="D792" s="2" t="s">
        <v>2681</v>
      </c>
      <c r="E792" s="2" t="s">
        <v>389</v>
      </c>
      <c r="F792" s="2" t="s">
        <v>2694</v>
      </c>
      <c r="G792" s="2" t="s">
        <v>2695</v>
      </c>
      <c r="H792" s="2" t="s">
        <v>2695</v>
      </c>
      <c r="I792" s="2" t="s">
        <v>30</v>
      </c>
      <c r="J792" s="2" t="s">
        <v>2696</v>
      </c>
      <c r="K792" s="2" t="str">
        <f>"5"</f>
        <v>5</v>
      </c>
      <c r="L792" s="2" t="str">
        <f>""</f>
        <v/>
      </c>
      <c r="M792" s="2" t="str">
        <f>"11-500"</f>
        <v>11-500</v>
      </c>
      <c r="N792" s="2" t="str">
        <f>"874281028"</f>
        <v>874281028</v>
      </c>
      <c r="O792" s="2" t="s">
        <v>2697</v>
      </c>
      <c r="P792" s="2" t="s">
        <v>121</v>
      </c>
    </row>
    <row r="793" spans="1:16" x14ac:dyDescent="0.25">
      <c r="A793" s="2">
        <v>19951</v>
      </c>
      <c r="B793" s="2" t="str">
        <f>"001082276"</f>
        <v>001082276</v>
      </c>
      <c r="C793" s="2" t="s">
        <v>16</v>
      </c>
      <c r="D793" s="2" t="s">
        <v>2681</v>
      </c>
      <c r="E793" s="2" t="s">
        <v>181</v>
      </c>
      <c r="F793" s="2" t="s">
        <v>1800</v>
      </c>
      <c r="G793" s="2" t="s">
        <v>1800</v>
      </c>
      <c r="H793" s="2" t="s">
        <v>1800</v>
      </c>
      <c r="I793" s="2" t="s">
        <v>30</v>
      </c>
      <c r="J793" s="2" t="s">
        <v>325</v>
      </c>
      <c r="K793" s="2" t="str">
        <f>"23a"</f>
        <v>23a</v>
      </c>
      <c r="L793" s="2" t="str">
        <f>""</f>
        <v/>
      </c>
      <c r="M793" s="2" t="str">
        <f>"86-300"</f>
        <v>86-300</v>
      </c>
      <c r="N793" s="2" t="str">
        <f>"564644805"</f>
        <v>564644805</v>
      </c>
      <c r="O793" s="2" t="s">
        <v>2698</v>
      </c>
      <c r="P793" s="2" t="s">
        <v>121</v>
      </c>
    </row>
    <row r="794" spans="1:16" x14ac:dyDescent="0.25">
      <c r="A794" s="2">
        <v>87296</v>
      </c>
      <c r="B794" s="2" t="str">
        <f>"000844784"</f>
        <v>000844784</v>
      </c>
      <c r="C794" s="2" t="s">
        <v>16</v>
      </c>
      <c r="D794" s="2" t="s">
        <v>2681</v>
      </c>
      <c r="E794" s="2" t="s">
        <v>117</v>
      </c>
      <c r="F794" s="2" t="s">
        <v>958</v>
      </c>
      <c r="G794" s="2" t="s">
        <v>958</v>
      </c>
      <c r="H794" s="2" t="s">
        <v>958</v>
      </c>
      <c r="I794" s="2" t="s">
        <v>30</v>
      </c>
      <c r="J794" s="2" t="s">
        <v>43</v>
      </c>
      <c r="K794" s="2" t="str">
        <f>"12"</f>
        <v>12</v>
      </c>
      <c r="L794" s="2" t="str">
        <f>""</f>
        <v/>
      </c>
      <c r="M794" s="2" t="str">
        <f>"44-335"</f>
        <v>44-335</v>
      </c>
      <c r="N794" s="2" t="str">
        <f>"324717878"</f>
        <v>324717878</v>
      </c>
      <c r="O794" s="2" t="s">
        <v>2699</v>
      </c>
      <c r="P794" s="2" t="s">
        <v>121</v>
      </c>
    </row>
    <row r="795" spans="1:16" x14ac:dyDescent="0.25">
      <c r="A795" s="2">
        <v>11265</v>
      </c>
      <c r="B795" s="2" t="str">
        <f>"000705901"</f>
        <v>000705901</v>
      </c>
      <c r="C795" s="2" t="s">
        <v>16</v>
      </c>
      <c r="D795" s="2" t="s">
        <v>2681</v>
      </c>
      <c r="E795" s="2" t="s">
        <v>240</v>
      </c>
      <c r="F795" s="2" t="s">
        <v>2700</v>
      </c>
      <c r="G795" s="2" t="s">
        <v>2701</v>
      </c>
      <c r="H795" s="2" t="s">
        <v>2701</v>
      </c>
      <c r="I795" s="2" t="s">
        <v>30</v>
      </c>
      <c r="J795" s="2" t="s">
        <v>2702</v>
      </c>
      <c r="K795" s="2" t="str">
        <f>"65"</f>
        <v>65</v>
      </c>
      <c r="L795" s="2" t="str">
        <f>""</f>
        <v/>
      </c>
      <c r="M795" s="2" t="str">
        <f>"67-100"</f>
        <v>67-100</v>
      </c>
      <c r="N795" s="2" t="str">
        <f>"683874700"</f>
        <v>683874700</v>
      </c>
      <c r="O795" s="2" t="s">
        <v>2703</v>
      </c>
      <c r="P795" s="2" t="s">
        <v>121</v>
      </c>
    </row>
    <row r="796" spans="1:16" x14ac:dyDescent="0.25">
      <c r="A796" s="2">
        <v>112167</v>
      </c>
      <c r="B796" s="2" t="str">
        <f>"000743304"</f>
        <v>000743304</v>
      </c>
      <c r="C796" s="2" t="s">
        <v>16</v>
      </c>
      <c r="D796" s="2" t="s">
        <v>2681</v>
      </c>
      <c r="E796" s="2" t="s">
        <v>416</v>
      </c>
      <c r="F796" s="2" t="s">
        <v>2704</v>
      </c>
      <c r="G796" s="2" t="s">
        <v>2705</v>
      </c>
      <c r="H796" s="2" t="s">
        <v>2705</v>
      </c>
      <c r="I796" s="2" t="s">
        <v>30</v>
      </c>
      <c r="J796" s="2" t="s">
        <v>2706</v>
      </c>
      <c r="K796" s="2" t="str">
        <f>"17"</f>
        <v>17</v>
      </c>
      <c r="L796" s="2" t="str">
        <f>""</f>
        <v/>
      </c>
      <c r="M796" s="2" t="str">
        <f>"48-100"</f>
        <v>48-100</v>
      </c>
      <c r="N796" s="2" t="str">
        <f>"774852995"</f>
        <v>774852995</v>
      </c>
      <c r="O796" s="2" t="s">
        <v>2707</v>
      </c>
      <c r="P796" s="2" t="s">
        <v>121</v>
      </c>
    </row>
    <row r="797" spans="1:16" x14ac:dyDescent="0.25">
      <c r="A797" s="2">
        <v>17357</v>
      </c>
      <c r="B797" s="2" t="str">
        <f>"000694422"</f>
        <v>000694422</v>
      </c>
      <c r="C797" s="2" t="s">
        <v>16</v>
      </c>
      <c r="D797" s="2" t="s">
        <v>2681</v>
      </c>
      <c r="E797" s="2" t="s">
        <v>18</v>
      </c>
      <c r="F797" s="2" t="s">
        <v>85</v>
      </c>
      <c r="G797" s="2" t="s">
        <v>85</v>
      </c>
      <c r="H797" s="2" t="s">
        <v>85</v>
      </c>
      <c r="I797" s="2" t="s">
        <v>30</v>
      </c>
      <c r="J797" s="2" t="s">
        <v>2708</v>
      </c>
      <c r="K797" s="2" t="str">
        <f>"1"</f>
        <v>1</v>
      </c>
      <c r="L797" s="2" t="str">
        <f>""</f>
        <v/>
      </c>
      <c r="M797" s="2" t="str">
        <f>"07-410"</f>
        <v>07-410</v>
      </c>
      <c r="N797" s="2" t="str">
        <f>"297604536"</f>
        <v>297604536</v>
      </c>
      <c r="O797" s="2" t="s">
        <v>2709</v>
      </c>
      <c r="P797" s="2" t="s">
        <v>121</v>
      </c>
    </row>
    <row r="798" spans="1:16" x14ac:dyDescent="0.25">
      <c r="A798" s="2">
        <v>83838</v>
      </c>
      <c r="B798" s="2" t="str">
        <f>"000707426"</f>
        <v>000707426</v>
      </c>
      <c r="C798" s="2" t="s">
        <v>16</v>
      </c>
      <c r="D798" s="2" t="s">
        <v>2681</v>
      </c>
      <c r="E798" s="2" t="s">
        <v>389</v>
      </c>
      <c r="F798" s="2" t="s">
        <v>2710</v>
      </c>
      <c r="G798" s="2" t="s">
        <v>2711</v>
      </c>
      <c r="H798" s="2" t="s">
        <v>2711</v>
      </c>
      <c r="I798" s="2" t="s">
        <v>30</v>
      </c>
      <c r="J798" s="2" t="s">
        <v>2712</v>
      </c>
      <c r="K798" s="2" t="str">
        <f>"12"</f>
        <v>12</v>
      </c>
      <c r="L798" s="2" t="str">
        <f>""</f>
        <v/>
      </c>
      <c r="M798" s="2" t="str">
        <f>"13-100"</f>
        <v>13-100</v>
      </c>
      <c r="N798" s="2" t="str">
        <f>"896253139"</f>
        <v>896253139</v>
      </c>
      <c r="O798" s="2" t="s">
        <v>2713</v>
      </c>
      <c r="P798" s="2" t="s">
        <v>121</v>
      </c>
    </row>
    <row r="799" spans="1:16" x14ac:dyDescent="0.25">
      <c r="A799" s="2">
        <v>14029</v>
      </c>
      <c r="B799" s="2" t="str">
        <f>"852532237"</f>
        <v>852532237</v>
      </c>
      <c r="C799" s="2" t="s">
        <v>16</v>
      </c>
      <c r="D799" s="2" t="s">
        <v>2681</v>
      </c>
      <c r="E799" s="2" t="s">
        <v>27</v>
      </c>
      <c r="F799" s="2" t="s">
        <v>187</v>
      </c>
      <c r="G799" s="2" t="s">
        <v>187</v>
      </c>
      <c r="H799" s="2" t="s">
        <v>187</v>
      </c>
      <c r="I799" s="2" t="s">
        <v>30</v>
      </c>
      <c r="J799" s="2" t="s">
        <v>2714</v>
      </c>
      <c r="K799" s="2" t="str">
        <f>"3"</f>
        <v>3</v>
      </c>
      <c r="L799" s="2" t="str">
        <f>""</f>
        <v/>
      </c>
      <c r="M799" s="2" t="str">
        <f>"33-100"</f>
        <v>33-100</v>
      </c>
      <c r="N799" s="2" t="str">
        <f>"146559995"</f>
        <v>146559995</v>
      </c>
      <c r="O799" s="2" t="s">
        <v>2715</v>
      </c>
      <c r="P799" s="2" t="s">
        <v>121</v>
      </c>
    </row>
    <row r="800" spans="1:16" x14ac:dyDescent="0.25">
      <c r="A800" s="2">
        <v>14296</v>
      </c>
      <c r="B800" s="2" t="str">
        <f>"000694267"</f>
        <v>000694267</v>
      </c>
      <c r="C800" s="2" t="s">
        <v>16</v>
      </c>
      <c r="D800" s="2" t="s">
        <v>2681</v>
      </c>
      <c r="E800" s="2" t="s">
        <v>157</v>
      </c>
      <c r="F800" s="2" t="s">
        <v>1876</v>
      </c>
      <c r="G800" s="2" t="s">
        <v>1877</v>
      </c>
      <c r="H800" s="2" t="s">
        <v>1877</v>
      </c>
      <c r="I800" s="2" t="s">
        <v>30</v>
      </c>
      <c r="J800" s="2" t="s">
        <v>1496</v>
      </c>
      <c r="K800" s="2" t="str">
        <f>"19"</f>
        <v>19</v>
      </c>
      <c r="L800" s="2" t="str">
        <f>""</f>
        <v/>
      </c>
      <c r="M800" s="2" t="str">
        <f>"63-500"</f>
        <v>63-500</v>
      </c>
      <c r="N800" s="2" t="str">
        <f>"627320367"</f>
        <v>627320367</v>
      </c>
      <c r="O800" s="2" t="s">
        <v>2716</v>
      </c>
      <c r="P800" s="2" t="s">
        <v>121</v>
      </c>
    </row>
    <row r="801" spans="1:16" x14ac:dyDescent="0.25">
      <c r="A801" s="2">
        <v>14676</v>
      </c>
      <c r="B801" s="2" t="str">
        <f>"000694474"</f>
        <v>000694474</v>
      </c>
      <c r="C801" s="2" t="s">
        <v>16</v>
      </c>
      <c r="D801" s="2" t="s">
        <v>2681</v>
      </c>
      <c r="E801" s="2" t="s">
        <v>18</v>
      </c>
      <c r="F801" s="2" t="s">
        <v>2717</v>
      </c>
      <c r="G801" s="2" t="s">
        <v>2718</v>
      </c>
      <c r="H801" s="2" t="s">
        <v>2718</v>
      </c>
      <c r="I801" s="2" t="s">
        <v>30</v>
      </c>
      <c r="J801" s="2" t="s">
        <v>2719</v>
      </c>
      <c r="K801" s="2" t="str">
        <f>"6"</f>
        <v>6</v>
      </c>
      <c r="L801" s="2" t="str">
        <f>""</f>
        <v/>
      </c>
      <c r="M801" s="2" t="str">
        <f>"06-300"</f>
        <v>06-300</v>
      </c>
      <c r="N801" s="2" t="str">
        <f>"297522615"</f>
        <v>297522615</v>
      </c>
      <c r="O801" s="2" t="s">
        <v>2720</v>
      </c>
      <c r="P801" s="2" t="s">
        <v>121</v>
      </c>
    </row>
    <row r="802" spans="1:16" x14ac:dyDescent="0.25">
      <c r="A802" s="2">
        <v>18353</v>
      </c>
      <c r="B802" s="2" t="str">
        <f>"001045832"</f>
        <v>001045832</v>
      </c>
      <c r="C802" s="2" t="s">
        <v>16</v>
      </c>
      <c r="D802" s="2" t="s">
        <v>2681</v>
      </c>
      <c r="E802" s="2" t="s">
        <v>39</v>
      </c>
      <c r="F802" s="2" t="s">
        <v>494</v>
      </c>
      <c r="G802" s="2" t="s">
        <v>495</v>
      </c>
      <c r="H802" s="2" t="s">
        <v>495</v>
      </c>
      <c r="I802" s="2" t="s">
        <v>30</v>
      </c>
      <c r="J802" s="2" t="s">
        <v>2721</v>
      </c>
      <c r="K802" s="2" t="str">
        <f>"1/13"</f>
        <v>1/13</v>
      </c>
      <c r="L802" s="2" t="str">
        <f>""</f>
        <v/>
      </c>
      <c r="M802" s="2" t="str">
        <f>"97-200"</f>
        <v>97-200</v>
      </c>
      <c r="N802" s="2" t="str">
        <f>"447233486"</f>
        <v>447233486</v>
      </c>
      <c r="O802" s="2" t="s">
        <v>2722</v>
      </c>
      <c r="P802" s="2" t="s">
        <v>121</v>
      </c>
    </row>
    <row r="803" spans="1:16" x14ac:dyDescent="0.25">
      <c r="A803" s="2">
        <v>74205</v>
      </c>
      <c r="B803" s="2" t="str">
        <f>"000837643"</f>
        <v>000837643</v>
      </c>
      <c r="C803" s="2" t="s">
        <v>16</v>
      </c>
      <c r="D803" s="2" t="s">
        <v>2681</v>
      </c>
      <c r="E803" s="2" t="s">
        <v>18</v>
      </c>
      <c r="F803" s="2" t="s">
        <v>507</v>
      </c>
      <c r="G803" s="2" t="s">
        <v>584</v>
      </c>
      <c r="H803" s="2" t="s">
        <v>584</v>
      </c>
      <c r="I803" s="2" t="s">
        <v>30</v>
      </c>
      <c r="J803" s="2" t="s">
        <v>2723</v>
      </c>
      <c r="K803" s="2" t="str">
        <f>"2"</f>
        <v>2</v>
      </c>
      <c r="L803" s="2" t="str">
        <f>""</f>
        <v/>
      </c>
      <c r="M803" s="2" t="str">
        <f>"05-800"</f>
        <v>05-800</v>
      </c>
      <c r="N803" s="2" t="str">
        <f>"227586829"</f>
        <v>227586829</v>
      </c>
      <c r="O803" s="2" t="s">
        <v>2724</v>
      </c>
      <c r="P803" s="2" t="s">
        <v>121</v>
      </c>
    </row>
    <row r="804" spans="1:16" x14ac:dyDescent="0.25">
      <c r="A804" s="2">
        <v>17727</v>
      </c>
      <c r="B804" s="2" t="str">
        <f>"001238821"</f>
        <v>001238821</v>
      </c>
      <c r="C804" s="2" t="s">
        <v>16</v>
      </c>
      <c r="D804" s="2" t="s">
        <v>2681</v>
      </c>
      <c r="E804" s="2" t="s">
        <v>157</v>
      </c>
      <c r="F804" s="2" t="s">
        <v>2725</v>
      </c>
      <c r="G804" s="2" t="s">
        <v>2726</v>
      </c>
      <c r="H804" s="2" t="s">
        <v>2726</v>
      </c>
      <c r="I804" s="2" t="s">
        <v>30</v>
      </c>
      <c r="J804" s="2" t="s">
        <v>2727</v>
      </c>
      <c r="K804" s="2" t="str">
        <f>"5"</f>
        <v>5</v>
      </c>
      <c r="L804" s="2" t="str">
        <f>""</f>
        <v/>
      </c>
      <c r="M804" s="2" t="str">
        <f>"64-800"</f>
        <v>64-800</v>
      </c>
      <c r="N804" s="2" t="str">
        <f>"672812531"</f>
        <v>672812531</v>
      </c>
      <c r="O804" s="2" t="s">
        <v>2728</v>
      </c>
      <c r="P804" s="2" t="s">
        <v>121</v>
      </c>
    </row>
    <row r="805" spans="1:16" x14ac:dyDescent="0.25">
      <c r="A805" s="2">
        <v>15934</v>
      </c>
      <c r="B805" s="2" t="str">
        <f>"000711920"</f>
        <v>000711920</v>
      </c>
      <c r="C805" s="2" t="s">
        <v>16</v>
      </c>
      <c r="D805" s="2" t="s">
        <v>2681</v>
      </c>
      <c r="E805" s="2" t="s">
        <v>240</v>
      </c>
      <c r="F805" s="2" t="s">
        <v>2729</v>
      </c>
      <c r="G805" s="2" t="s">
        <v>2730</v>
      </c>
      <c r="H805" s="2" t="s">
        <v>2730</v>
      </c>
      <c r="I805" s="2" t="s">
        <v>30</v>
      </c>
      <c r="J805" s="2" t="s">
        <v>2165</v>
      </c>
      <c r="K805" s="2" t="str">
        <f>"1"</f>
        <v>1</v>
      </c>
      <c r="L805" s="2" t="str">
        <f>""</f>
        <v/>
      </c>
      <c r="M805" s="2" t="str">
        <f>"69-200"</f>
        <v>69-200</v>
      </c>
      <c r="N805" s="2" t="str">
        <f>"957554485"</f>
        <v>957554485</v>
      </c>
      <c r="O805" s="2" t="s">
        <v>2731</v>
      </c>
      <c r="P805" s="2" t="s">
        <v>121</v>
      </c>
    </row>
    <row r="806" spans="1:16" hidden="1" x14ac:dyDescent="0.25">
      <c r="A806">
        <v>38912</v>
      </c>
      <c r="B806" t="str">
        <f>"146354963"</f>
        <v>146354963</v>
      </c>
      <c r="C806" t="s">
        <v>16</v>
      </c>
      <c r="D806" t="s">
        <v>2681</v>
      </c>
      <c r="E806" t="s">
        <v>18</v>
      </c>
      <c r="F806" t="s">
        <v>106</v>
      </c>
      <c r="G806" t="s">
        <v>107</v>
      </c>
      <c r="H806" t="s">
        <v>107</v>
      </c>
      <c r="I806" t="s">
        <v>30</v>
      </c>
      <c r="J806" t="s">
        <v>2732</v>
      </c>
      <c r="K806" t="str">
        <f>"7"</f>
        <v>7</v>
      </c>
      <c r="L806" t="str">
        <f>"148"</f>
        <v>148</v>
      </c>
      <c r="M806" t="str">
        <f>"05-500"</f>
        <v>05-500</v>
      </c>
      <c r="N806" t="str">
        <f>"227507202"</f>
        <v>227507202</v>
      </c>
      <c r="O806" t="s">
        <v>2733</v>
      </c>
      <c r="P806" t="s">
        <v>24</v>
      </c>
    </row>
    <row r="807" spans="1:16" x14ac:dyDescent="0.25">
      <c r="A807" s="2">
        <v>28487</v>
      </c>
      <c r="B807" s="2" t="str">
        <f>"000721751"</f>
        <v>000721751</v>
      </c>
      <c r="C807" s="2" t="s">
        <v>16</v>
      </c>
      <c r="D807" s="2" t="s">
        <v>2681</v>
      </c>
      <c r="E807" s="2" t="s">
        <v>117</v>
      </c>
      <c r="F807" s="2" t="s">
        <v>913</v>
      </c>
      <c r="G807" s="2" t="s">
        <v>913</v>
      </c>
      <c r="H807" s="2" t="s">
        <v>913</v>
      </c>
      <c r="I807" s="2" t="s">
        <v>30</v>
      </c>
      <c r="J807" s="2" t="s">
        <v>1305</v>
      </c>
      <c r="K807" s="2" t="str">
        <f>"23"</f>
        <v>23</v>
      </c>
      <c r="L807" s="2" t="str">
        <f>""</f>
        <v/>
      </c>
      <c r="M807" s="2" t="str">
        <f>"41-506"</f>
        <v>41-506</v>
      </c>
      <c r="N807" s="2" t="str">
        <f>"322415439"</f>
        <v>322415439</v>
      </c>
      <c r="O807" s="2" t="s">
        <v>2734</v>
      </c>
      <c r="P807" s="2" t="s">
        <v>121</v>
      </c>
    </row>
    <row r="808" spans="1:16" x14ac:dyDescent="0.25">
      <c r="A808" s="2">
        <v>29082</v>
      </c>
      <c r="B808" s="2" t="str">
        <f>"000902671"</f>
        <v>000902671</v>
      </c>
      <c r="C808" s="2" t="s">
        <v>16</v>
      </c>
      <c r="D808" s="2" t="s">
        <v>2681</v>
      </c>
      <c r="E808" s="2" t="s">
        <v>101</v>
      </c>
      <c r="F808" s="2" t="s">
        <v>2735</v>
      </c>
      <c r="G808" s="2" t="s">
        <v>2736</v>
      </c>
      <c r="H808" s="2" t="s">
        <v>2736</v>
      </c>
      <c r="I808" s="2" t="s">
        <v>30</v>
      </c>
      <c r="J808" s="2" t="s">
        <v>1093</v>
      </c>
      <c r="K808" s="2" t="str">
        <f>"4"</f>
        <v>4</v>
      </c>
      <c r="L808" s="2" t="str">
        <f>""</f>
        <v/>
      </c>
      <c r="M808" s="2" t="str">
        <f>"37-400"</f>
        <v>37-400</v>
      </c>
      <c r="N808" s="2" t="str">
        <f>"158412773"</f>
        <v>158412773</v>
      </c>
      <c r="O808" s="2" t="s">
        <v>2737</v>
      </c>
      <c r="P808" s="2" t="s">
        <v>121</v>
      </c>
    </row>
    <row r="809" spans="1:16" hidden="1" x14ac:dyDescent="0.25">
      <c r="A809">
        <v>30496</v>
      </c>
      <c r="B809" t="str">
        <f>"146346930"</f>
        <v>146346930</v>
      </c>
      <c r="C809" t="s">
        <v>16</v>
      </c>
      <c r="D809" t="s">
        <v>2681</v>
      </c>
      <c r="E809" t="s">
        <v>18</v>
      </c>
      <c r="F809" t="s">
        <v>106</v>
      </c>
      <c r="G809" t="s">
        <v>107</v>
      </c>
      <c r="H809" t="s">
        <v>107</v>
      </c>
      <c r="I809" t="s">
        <v>30</v>
      </c>
      <c r="J809" t="s">
        <v>2738</v>
      </c>
      <c r="K809" t="str">
        <f>"21"</f>
        <v>21</v>
      </c>
      <c r="L809" t="str">
        <f>"106"</f>
        <v>106</v>
      </c>
      <c r="M809" t="str">
        <f>"05-500"</f>
        <v>05-500</v>
      </c>
      <c r="N809" t="str">
        <f>"227501402"</f>
        <v>227501402</v>
      </c>
      <c r="O809" t="s">
        <v>2739</v>
      </c>
      <c r="P809" t="s">
        <v>24</v>
      </c>
    </row>
    <row r="810" spans="1:16" x14ac:dyDescent="0.25">
      <c r="A810" s="2">
        <v>24868</v>
      </c>
      <c r="B810" s="2" t="str">
        <f>"000726056"</f>
        <v>000726056</v>
      </c>
      <c r="C810" s="2" t="s">
        <v>16</v>
      </c>
      <c r="D810" s="2" t="s">
        <v>2681</v>
      </c>
      <c r="E810" s="2" t="s">
        <v>117</v>
      </c>
      <c r="F810" s="2" t="s">
        <v>260</v>
      </c>
      <c r="G810" s="2" t="s">
        <v>260</v>
      </c>
      <c r="H810" s="2" t="s">
        <v>260</v>
      </c>
      <c r="I810" s="2" t="s">
        <v>30</v>
      </c>
      <c r="J810" s="2" t="s">
        <v>2740</v>
      </c>
      <c r="K810" s="2" t="str">
        <f>"102"</f>
        <v>102</v>
      </c>
      <c r="L810" s="2" t="str">
        <f>""</f>
        <v/>
      </c>
      <c r="M810" s="2" t="str">
        <f>"43-100"</f>
        <v>43-100</v>
      </c>
      <c r="N810" s="2" t="str">
        <f>"322272392"</f>
        <v>322272392</v>
      </c>
      <c r="O810" s="2" t="s">
        <v>2741</v>
      </c>
      <c r="P810" s="2" t="s">
        <v>121</v>
      </c>
    </row>
    <row r="811" spans="1:16" x14ac:dyDescent="0.25">
      <c r="A811" s="2">
        <v>6535</v>
      </c>
      <c r="B811" s="2" t="str">
        <f>"000714580"</f>
        <v>000714580</v>
      </c>
      <c r="C811" s="2" t="s">
        <v>16</v>
      </c>
      <c r="D811" s="2" t="s">
        <v>2681</v>
      </c>
      <c r="E811" s="2" t="s">
        <v>112</v>
      </c>
      <c r="F811" s="2" t="s">
        <v>841</v>
      </c>
      <c r="G811" s="2" t="s">
        <v>956</v>
      </c>
      <c r="H811" s="2" t="s">
        <v>956</v>
      </c>
      <c r="I811" s="2" t="s">
        <v>30</v>
      </c>
      <c r="J811" s="2" t="s">
        <v>2215</v>
      </c>
      <c r="K811" s="2" t="str">
        <f>"2a"</f>
        <v>2a</v>
      </c>
      <c r="L811" s="2" t="str">
        <f>""</f>
        <v/>
      </c>
      <c r="M811" s="2" t="str">
        <f>"21-040"</f>
        <v>21-040</v>
      </c>
      <c r="N811" s="2" t="str">
        <f>"817515236"</f>
        <v>817515236</v>
      </c>
      <c r="O811" s="2" t="s">
        <v>2742</v>
      </c>
      <c r="P811" s="2" t="s">
        <v>121</v>
      </c>
    </row>
    <row r="812" spans="1:16" x14ac:dyDescent="0.25">
      <c r="A812" s="2">
        <v>48837</v>
      </c>
      <c r="B812" s="2" t="str">
        <f>"000695829"</f>
        <v>000695829</v>
      </c>
      <c r="C812" s="2" t="s">
        <v>16</v>
      </c>
      <c r="D812" s="2" t="s">
        <v>2681</v>
      </c>
      <c r="E812" s="2" t="s">
        <v>389</v>
      </c>
      <c r="F812" s="2" t="s">
        <v>2743</v>
      </c>
      <c r="G812" s="2" t="s">
        <v>2744</v>
      </c>
      <c r="H812" s="2" t="s">
        <v>2744</v>
      </c>
      <c r="I812" s="2" t="s">
        <v>30</v>
      </c>
      <c r="J812" s="2" t="s">
        <v>2745</v>
      </c>
      <c r="K812" s="2" t="str">
        <f>"16A"</f>
        <v>16A</v>
      </c>
      <c r="L812" s="2" t="str">
        <f>""</f>
        <v/>
      </c>
      <c r="M812" s="2" t="str">
        <f>"11-600"</f>
        <v>11-600</v>
      </c>
      <c r="N812" s="2" t="str">
        <f>"874272503"</f>
        <v>874272503</v>
      </c>
      <c r="O812" s="2" t="s">
        <v>2746</v>
      </c>
      <c r="P812" s="2" t="s">
        <v>121</v>
      </c>
    </row>
    <row r="813" spans="1:16" x14ac:dyDescent="0.25">
      <c r="A813" s="2">
        <v>55423</v>
      </c>
      <c r="B813" s="2" t="str">
        <f>"000817592"</f>
        <v>000817592</v>
      </c>
      <c r="C813" s="2" t="s">
        <v>16</v>
      </c>
      <c r="D813" s="2" t="s">
        <v>2681</v>
      </c>
      <c r="E813" s="2" t="s">
        <v>117</v>
      </c>
      <c r="F813" s="2" t="s">
        <v>1775</v>
      </c>
      <c r="G813" s="2" t="s">
        <v>1775</v>
      </c>
      <c r="H813" s="2" t="s">
        <v>1775</v>
      </c>
      <c r="I813" s="2" t="s">
        <v>30</v>
      </c>
      <c r="J813" s="2" t="s">
        <v>2747</v>
      </c>
      <c r="K813" s="2" t="str">
        <f>"1"</f>
        <v>1</v>
      </c>
      <c r="L813" s="2" t="str">
        <f>"207"</f>
        <v>207</v>
      </c>
      <c r="M813" s="2" t="str">
        <f>"44-240"</f>
        <v>44-240</v>
      </c>
      <c r="N813" s="2" t="str">
        <f>"324345329"</f>
        <v>324345329</v>
      </c>
      <c r="O813" s="2" t="s">
        <v>2748</v>
      </c>
      <c r="P813" s="2" t="s">
        <v>121</v>
      </c>
    </row>
    <row r="814" spans="1:16" x14ac:dyDescent="0.25">
      <c r="A814" s="2">
        <v>24077</v>
      </c>
      <c r="B814" s="2" t="str">
        <f>"016190181"</f>
        <v>016190181</v>
      </c>
      <c r="C814" s="2" t="s">
        <v>16</v>
      </c>
      <c r="D814" s="2" t="s">
        <v>2681</v>
      </c>
      <c r="E814" s="2" t="s">
        <v>18</v>
      </c>
      <c r="F814" s="2" t="s">
        <v>106</v>
      </c>
      <c r="G814" s="2" t="s">
        <v>107</v>
      </c>
      <c r="H814" s="2" t="s">
        <v>107</v>
      </c>
      <c r="I814" s="2" t="s">
        <v>30</v>
      </c>
      <c r="J814" s="2" t="s">
        <v>628</v>
      </c>
      <c r="K814" s="2" t="str">
        <f>"30"</f>
        <v>30</v>
      </c>
      <c r="L814" s="2" t="str">
        <f>""</f>
        <v/>
      </c>
      <c r="M814" s="2" t="str">
        <f>"05-500"</f>
        <v>05-500</v>
      </c>
      <c r="N814" s="2" t="str">
        <f>"227564455"</f>
        <v>227564455</v>
      </c>
      <c r="O814" s="2" t="s">
        <v>2749</v>
      </c>
      <c r="P814" s="2" t="s">
        <v>121</v>
      </c>
    </row>
    <row r="815" spans="1:16" x14ac:dyDescent="0.25">
      <c r="A815" s="2">
        <v>54264</v>
      </c>
      <c r="B815" s="2" t="str">
        <f>"000703150"</f>
        <v>000703150</v>
      </c>
      <c r="C815" s="2" t="s">
        <v>16</v>
      </c>
      <c r="D815" s="2" t="s">
        <v>2681</v>
      </c>
      <c r="E815" s="2" t="s">
        <v>34</v>
      </c>
      <c r="F815" s="2" t="s">
        <v>2750</v>
      </c>
      <c r="G815" s="2" t="s">
        <v>2750</v>
      </c>
      <c r="H815" s="2" t="s">
        <v>2750</v>
      </c>
      <c r="I815" s="2" t="s">
        <v>30</v>
      </c>
      <c r="J815" s="2" t="s">
        <v>1283</v>
      </c>
      <c r="K815" s="2" t="str">
        <f>"54"</f>
        <v>54</v>
      </c>
      <c r="L815" s="2" t="str">
        <f>""</f>
        <v/>
      </c>
      <c r="M815" s="2" t="str">
        <f>"72-600"</f>
        <v>72-600</v>
      </c>
      <c r="N815" s="2" t="str">
        <f>"913214911"</f>
        <v>913214911</v>
      </c>
      <c r="O815" s="2" t="s">
        <v>2751</v>
      </c>
      <c r="P815" s="2" t="s">
        <v>121</v>
      </c>
    </row>
    <row r="816" spans="1:16" x14ac:dyDescent="0.25">
      <c r="A816" s="2">
        <v>26741</v>
      </c>
      <c r="B816" s="2" t="str">
        <f>"000705686"</f>
        <v>000705686</v>
      </c>
      <c r="C816" s="2" t="s">
        <v>16</v>
      </c>
      <c r="D816" s="2" t="s">
        <v>2681</v>
      </c>
      <c r="E816" s="2" t="s">
        <v>27</v>
      </c>
      <c r="F816" s="2" t="s">
        <v>2752</v>
      </c>
      <c r="G816" s="2" t="s">
        <v>2753</v>
      </c>
      <c r="H816" s="2" t="s">
        <v>2753</v>
      </c>
      <c r="I816" s="2" t="s">
        <v>30</v>
      </c>
      <c r="J816" s="2" t="s">
        <v>1124</v>
      </c>
      <c r="K816" s="2" t="str">
        <f>"10"</f>
        <v>10</v>
      </c>
      <c r="L816" s="2" t="str">
        <f>""</f>
        <v/>
      </c>
      <c r="M816" s="2" t="str">
        <f>"32-100"</f>
        <v>32-100</v>
      </c>
      <c r="N816" s="2" t="str">
        <f>"123070336"</f>
        <v>123070336</v>
      </c>
      <c r="O816" s="2" t="s">
        <v>2754</v>
      </c>
      <c r="P816" s="2" t="s">
        <v>121</v>
      </c>
    </row>
    <row r="817" spans="1:16" x14ac:dyDescent="0.25">
      <c r="A817" s="2">
        <v>127140</v>
      </c>
      <c r="B817" s="2" t="str">
        <f>"361143228"</f>
        <v>361143228</v>
      </c>
      <c r="C817" s="2" t="s">
        <v>16</v>
      </c>
      <c r="D817" s="2" t="s">
        <v>2681</v>
      </c>
      <c r="E817" s="2" t="s">
        <v>64</v>
      </c>
      <c r="F817" s="2" t="s">
        <v>684</v>
      </c>
      <c r="G817" s="2" t="s">
        <v>2755</v>
      </c>
      <c r="H817" s="2" t="s">
        <v>2755</v>
      </c>
      <c r="I817" s="2" t="s">
        <v>30</v>
      </c>
      <c r="J817" s="2" t="s">
        <v>671</v>
      </c>
      <c r="K817" s="2" t="str">
        <f>"1"</f>
        <v>1</v>
      </c>
      <c r="L817" s="2" t="str">
        <f>""</f>
        <v/>
      </c>
      <c r="M817" s="2" t="str">
        <f>"59-500"</f>
        <v>59-500</v>
      </c>
      <c r="N817" s="2" t="str">
        <f>"768783549"</f>
        <v>768783549</v>
      </c>
      <c r="O817" s="2" t="s">
        <v>2756</v>
      </c>
      <c r="P817" s="2" t="s">
        <v>121</v>
      </c>
    </row>
    <row r="818" spans="1:16" x14ac:dyDescent="0.25">
      <c r="A818" s="2">
        <v>61838</v>
      </c>
      <c r="B818" s="2" t="str">
        <f>"000739509"</f>
        <v>000739509</v>
      </c>
      <c r="C818" s="2" t="s">
        <v>16</v>
      </c>
      <c r="D818" s="2" t="s">
        <v>2681</v>
      </c>
      <c r="E818" s="2" t="s">
        <v>18</v>
      </c>
      <c r="F818" s="2" t="s">
        <v>1079</v>
      </c>
      <c r="G818" s="2" t="s">
        <v>1080</v>
      </c>
      <c r="H818" s="2" t="s">
        <v>1080</v>
      </c>
      <c r="I818" s="2" t="s">
        <v>30</v>
      </c>
      <c r="J818" s="2" t="s">
        <v>464</v>
      </c>
      <c r="K818" s="2" t="str">
        <f>"40"</f>
        <v>40</v>
      </c>
      <c r="L818" s="2" t="str">
        <f>""</f>
        <v/>
      </c>
      <c r="M818" s="2" t="str">
        <f>"96-300"</f>
        <v>96-300</v>
      </c>
      <c r="N818" s="2" t="str">
        <f>"468553816"</f>
        <v>468553816</v>
      </c>
      <c r="O818" s="2" t="s">
        <v>2757</v>
      </c>
      <c r="P818" s="2" t="s">
        <v>121</v>
      </c>
    </row>
    <row r="819" spans="1:16" x14ac:dyDescent="0.25">
      <c r="A819" s="2">
        <v>22481</v>
      </c>
      <c r="B819" s="2" t="str">
        <f>"231184691"</f>
        <v>231184691</v>
      </c>
      <c r="C819" s="2" t="s">
        <v>16</v>
      </c>
      <c r="D819" s="2" t="s">
        <v>2681</v>
      </c>
      <c r="E819" s="2" t="s">
        <v>64</v>
      </c>
      <c r="F819" s="2" t="s">
        <v>2758</v>
      </c>
      <c r="G819" s="2" t="s">
        <v>2759</v>
      </c>
      <c r="H819" s="2" t="s">
        <v>2759</v>
      </c>
      <c r="I819" s="2" t="s">
        <v>30</v>
      </c>
      <c r="J819" s="2" t="s">
        <v>2760</v>
      </c>
      <c r="K819" s="2" t="str">
        <f>"17"</f>
        <v>17</v>
      </c>
      <c r="L819" s="2" t="str">
        <f>""</f>
        <v/>
      </c>
      <c r="M819" s="2" t="str">
        <f>"58-400"</f>
        <v>58-400</v>
      </c>
      <c r="N819" s="2" t="str">
        <f>"756450244"</f>
        <v>756450244</v>
      </c>
      <c r="O819" s="2" t="s">
        <v>2761</v>
      </c>
      <c r="P819" s="2" t="s">
        <v>121</v>
      </c>
    </row>
    <row r="820" spans="1:16" x14ac:dyDescent="0.25">
      <c r="A820" s="2">
        <v>39751</v>
      </c>
      <c r="B820" s="2" t="str">
        <f>"711665108"</f>
        <v>711665108</v>
      </c>
      <c r="C820" s="2" t="s">
        <v>16</v>
      </c>
      <c r="D820" s="2" t="s">
        <v>2681</v>
      </c>
      <c r="E820" s="2" t="s">
        <v>18</v>
      </c>
      <c r="F820" s="2" t="s">
        <v>486</v>
      </c>
      <c r="G820" s="2" t="s">
        <v>487</v>
      </c>
      <c r="H820" s="2" t="s">
        <v>487</v>
      </c>
      <c r="I820" s="2" t="s">
        <v>30</v>
      </c>
      <c r="J820" s="2" t="s">
        <v>2762</v>
      </c>
      <c r="K820" s="2" t="str">
        <f>"7b"</f>
        <v>7b</v>
      </c>
      <c r="L820" s="2" t="str">
        <f>""</f>
        <v/>
      </c>
      <c r="M820" s="2" t="str">
        <f>"05-070"</f>
        <v>05-070</v>
      </c>
      <c r="N820" s="2" t="str">
        <f>"227839771"</f>
        <v>227839771</v>
      </c>
      <c r="O820" s="2" t="s">
        <v>2763</v>
      </c>
      <c r="P820" s="2" t="s">
        <v>121</v>
      </c>
    </row>
    <row r="821" spans="1:16" x14ac:dyDescent="0.25">
      <c r="A821" s="2">
        <v>21868</v>
      </c>
      <c r="B821" s="2" t="str">
        <f>"000717005"</f>
        <v>000717005</v>
      </c>
      <c r="C821" s="2" t="s">
        <v>16</v>
      </c>
      <c r="D821" s="2" t="s">
        <v>2681</v>
      </c>
      <c r="E821" s="2" t="s">
        <v>157</v>
      </c>
      <c r="F821" s="2" t="s">
        <v>2764</v>
      </c>
      <c r="G821" s="2" t="s">
        <v>2765</v>
      </c>
      <c r="H821" s="2" t="s">
        <v>2765</v>
      </c>
      <c r="I821" s="2" t="s">
        <v>30</v>
      </c>
      <c r="J821" s="2" t="s">
        <v>2766</v>
      </c>
      <c r="K821" s="2" t="str">
        <f>"1"</f>
        <v>1</v>
      </c>
      <c r="L821" s="2" t="str">
        <f>""</f>
        <v/>
      </c>
      <c r="M821" s="2" t="str">
        <f>"64-300"</f>
        <v>64-300</v>
      </c>
      <c r="N821" s="2" t="str">
        <f>"614423436"</f>
        <v>614423436</v>
      </c>
      <c r="O821" s="2" t="s">
        <v>2767</v>
      </c>
      <c r="P821" s="2" t="s">
        <v>121</v>
      </c>
    </row>
    <row r="822" spans="1:16" x14ac:dyDescent="0.25">
      <c r="A822" s="2">
        <v>6480</v>
      </c>
      <c r="B822" s="2" t="str">
        <f>"650958725"</f>
        <v>650958725</v>
      </c>
      <c r="C822" s="2" t="s">
        <v>16</v>
      </c>
      <c r="D822" s="2" t="s">
        <v>2681</v>
      </c>
      <c r="E822" s="2" t="s">
        <v>101</v>
      </c>
      <c r="F822" s="2" t="s">
        <v>1851</v>
      </c>
      <c r="G822" s="2" t="s">
        <v>1851</v>
      </c>
      <c r="H822" s="2" t="s">
        <v>1851</v>
      </c>
      <c r="I822" s="2" t="s">
        <v>30</v>
      </c>
      <c r="J822" s="2" t="s">
        <v>2768</v>
      </c>
      <c r="K822" s="2" t="str">
        <f>"4"</f>
        <v>4</v>
      </c>
      <c r="L822" s="2" t="str">
        <f>""</f>
        <v/>
      </c>
      <c r="M822" s="2" t="str">
        <f>"37-700"</f>
        <v>37-700</v>
      </c>
      <c r="N822" s="2" t="str">
        <f>"166783794"</f>
        <v>166783794</v>
      </c>
      <c r="O822" s="2" t="s">
        <v>2769</v>
      </c>
      <c r="P822" s="2" t="s">
        <v>121</v>
      </c>
    </row>
    <row r="823" spans="1:16" x14ac:dyDescent="0.25">
      <c r="A823" s="2">
        <v>42013</v>
      </c>
      <c r="B823" s="2" t="str">
        <f>"371000774"</f>
        <v>371000774</v>
      </c>
      <c r="C823" s="2" t="s">
        <v>16</v>
      </c>
      <c r="D823" s="2" t="s">
        <v>2681</v>
      </c>
      <c r="E823" s="2" t="s">
        <v>101</v>
      </c>
      <c r="F823" s="2" t="s">
        <v>2770</v>
      </c>
      <c r="G823" s="2" t="s">
        <v>2771</v>
      </c>
      <c r="H823" s="2" t="s">
        <v>2771</v>
      </c>
      <c r="I823" s="2" t="s">
        <v>30</v>
      </c>
      <c r="J823" s="2" t="s">
        <v>1542</v>
      </c>
      <c r="K823" s="2" t="str">
        <f>"2"</f>
        <v>2</v>
      </c>
      <c r="L823" s="2" t="str">
        <f>""</f>
        <v/>
      </c>
      <c r="M823" s="2" t="str">
        <f>"36-200"</f>
        <v>36-200</v>
      </c>
      <c r="N823" s="2" t="str">
        <f>"134341053"</f>
        <v>134341053</v>
      </c>
      <c r="O823" s="2" t="s">
        <v>2772</v>
      </c>
      <c r="P823" s="2" t="s">
        <v>121</v>
      </c>
    </row>
    <row r="824" spans="1:16" x14ac:dyDescent="0.25">
      <c r="A824" s="2">
        <v>5501</v>
      </c>
      <c r="B824" s="2" t="str">
        <f>"000703204"</f>
        <v>000703204</v>
      </c>
      <c r="C824" s="2" t="s">
        <v>16</v>
      </c>
      <c r="D824" s="2" t="s">
        <v>2681</v>
      </c>
      <c r="E824" s="2" t="s">
        <v>34</v>
      </c>
      <c r="F824" s="2" t="s">
        <v>218</v>
      </c>
      <c r="G824" s="2" t="s">
        <v>219</v>
      </c>
      <c r="H824" s="2" t="s">
        <v>219</v>
      </c>
      <c r="I824" s="2" t="s">
        <v>30</v>
      </c>
      <c r="J824" s="2" t="s">
        <v>2773</v>
      </c>
      <c r="K824" s="2" t="str">
        <f>"7A"</f>
        <v>7A</v>
      </c>
      <c r="L824" s="2" t="str">
        <f>""</f>
        <v/>
      </c>
      <c r="M824" s="2" t="str">
        <f>"73-110"</f>
        <v>73-110</v>
      </c>
      <c r="N824" s="2" t="str">
        <f>"915784693"</f>
        <v>915784693</v>
      </c>
      <c r="O824" s="2" t="s">
        <v>2774</v>
      </c>
      <c r="P824" s="2" t="s">
        <v>121</v>
      </c>
    </row>
    <row r="825" spans="1:16" x14ac:dyDescent="0.25">
      <c r="A825" s="2">
        <v>3961</v>
      </c>
      <c r="B825" s="2" t="str">
        <f>"891062910"</f>
        <v>891062910</v>
      </c>
      <c r="C825" s="2" t="s">
        <v>16</v>
      </c>
      <c r="D825" s="2" t="s">
        <v>2681</v>
      </c>
      <c r="E825" s="2" t="s">
        <v>64</v>
      </c>
      <c r="F825" s="2" t="s">
        <v>988</v>
      </c>
      <c r="G825" s="2" t="s">
        <v>988</v>
      </c>
      <c r="H825" s="2" t="s">
        <v>988</v>
      </c>
      <c r="I825" s="2" t="s">
        <v>30</v>
      </c>
      <c r="J825" s="2" t="s">
        <v>2775</v>
      </c>
      <c r="K825" s="2" t="str">
        <f>"7"</f>
        <v>7</v>
      </c>
      <c r="L825" s="2" t="str">
        <f>""</f>
        <v/>
      </c>
      <c r="M825" s="2" t="str">
        <f>"58-300"</f>
        <v>58-300</v>
      </c>
      <c r="N825" s="2" t="str">
        <f>"748422243"</f>
        <v>748422243</v>
      </c>
      <c r="O825" s="2" t="s">
        <v>2776</v>
      </c>
      <c r="P825" s="2" t="s">
        <v>121</v>
      </c>
    </row>
    <row r="826" spans="1:16" x14ac:dyDescent="0.25">
      <c r="A826" s="2">
        <v>21023</v>
      </c>
      <c r="B826" s="2" t="str">
        <f>"000703240"</f>
        <v>000703240</v>
      </c>
      <c r="C826" s="2" t="s">
        <v>16</v>
      </c>
      <c r="D826" s="2" t="s">
        <v>2681</v>
      </c>
      <c r="E826" s="2" t="s">
        <v>34</v>
      </c>
      <c r="F826" s="2" t="s">
        <v>2777</v>
      </c>
      <c r="G826" s="2" t="s">
        <v>2778</v>
      </c>
      <c r="H826" s="2" t="s">
        <v>2778</v>
      </c>
      <c r="I826" s="2" t="s">
        <v>30</v>
      </c>
      <c r="J826" s="2" t="s">
        <v>2779</v>
      </c>
      <c r="K826" s="2" t="str">
        <f>"4"</f>
        <v>4</v>
      </c>
      <c r="L826" s="2" t="str">
        <f>""</f>
        <v/>
      </c>
      <c r="M826" s="2" t="str">
        <f>"74-200"</f>
        <v>74-200</v>
      </c>
      <c r="N826" s="2" t="str">
        <f>"915700744"</f>
        <v>915700744</v>
      </c>
      <c r="O826" s="2" t="s">
        <v>2780</v>
      </c>
      <c r="P826" s="2" t="s">
        <v>121</v>
      </c>
    </row>
    <row r="827" spans="1:16" x14ac:dyDescent="0.25">
      <c r="A827" s="2">
        <v>49910</v>
      </c>
      <c r="B827" s="2" t="str">
        <f>"001388963"</f>
        <v>001388963</v>
      </c>
      <c r="C827" s="2" t="s">
        <v>16</v>
      </c>
      <c r="D827" s="2" t="s">
        <v>2681</v>
      </c>
      <c r="E827" s="2" t="s">
        <v>181</v>
      </c>
      <c r="F827" s="2" t="s">
        <v>1418</v>
      </c>
      <c r="G827" s="2" t="s">
        <v>1418</v>
      </c>
      <c r="H827" s="2" t="s">
        <v>1418</v>
      </c>
      <c r="I827" s="2" t="s">
        <v>30</v>
      </c>
      <c r="J827" s="2" t="s">
        <v>628</v>
      </c>
      <c r="K827" s="2" t="str">
        <f>"27"</f>
        <v>27</v>
      </c>
      <c r="L827" s="2" t="str">
        <f>""</f>
        <v/>
      </c>
      <c r="M827" s="2" t="str">
        <f>"87-800"</f>
        <v>87-800</v>
      </c>
      <c r="N827" s="2" t="str">
        <f>"542325918"</f>
        <v>542325918</v>
      </c>
      <c r="O827" s="2" t="s">
        <v>2781</v>
      </c>
      <c r="P827" s="2" t="s">
        <v>121</v>
      </c>
    </row>
    <row r="828" spans="1:16" x14ac:dyDescent="0.25">
      <c r="A828" s="2">
        <v>40563</v>
      </c>
      <c r="B828" s="2" t="str">
        <f>"001011684"</f>
        <v>001011684</v>
      </c>
      <c r="C828" s="2" t="s">
        <v>16</v>
      </c>
      <c r="D828" s="2" t="s">
        <v>2681</v>
      </c>
      <c r="E828" s="2" t="s">
        <v>80</v>
      </c>
      <c r="F828" s="2" t="s">
        <v>1505</v>
      </c>
      <c r="G828" s="2" t="s">
        <v>2782</v>
      </c>
      <c r="H828" s="2" t="s">
        <v>2782</v>
      </c>
      <c r="I828" s="2" t="s">
        <v>30</v>
      </c>
      <c r="J828" s="2" t="s">
        <v>2162</v>
      </c>
      <c r="K828" s="2" t="str">
        <f>"6"</f>
        <v>6</v>
      </c>
      <c r="L828" s="2" t="str">
        <f>""</f>
        <v/>
      </c>
      <c r="M828" s="2" t="str">
        <f>"82-100"</f>
        <v>82-100</v>
      </c>
      <c r="N828" s="2" t="str">
        <f>"552472282"</f>
        <v>552472282</v>
      </c>
      <c r="O828" s="2" t="s">
        <v>2783</v>
      </c>
      <c r="P828" s="2" t="s">
        <v>121</v>
      </c>
    </row>
    <row r="829" spans="1:16" hidden="1" x14ac:dyDescent="0.25">
      <c r="A829">
        <v>275768</v>
      </c>
      <c r="B829" t="str">
        <f>"386934522"</f>
        <v>386934522</v>
      </c>
      <c r="C829" t="s">
        <v>16</v>
      </c>
      <c r="D829" t="s">
        <v>2784</v>
      </c>
      <c r="E829" t="s">
        <v>101</v>
      </c>
      <c r="F829" t="s">
        <v>102</v>
      </c>
      <c r="G829" t="s">
        <v>102</v>
      </c>
      <c r="H829" t="s">
        <v>102</v>
      </c>
      <c r="I829" t="s">
        <v>30</v>
      </c>
      <c r="J829" t="s">
        <v>2785</v>
      </c>
      <c r="K829" t="str">
        <f>"10"</f>
        <v>10</v>
      </c>
      <c r="L829" t="str">
        <f>"3"</f>
        <v>3</v>
      </c>
      <c r="M829" t="str">
        <f>"35-083"</f>
        <v>35-083</v>
      </c>
      <c r="N829" t="str">
        <f>"696999961"</f>
        <v>696999961</v>
      </c>
      <c r="P829" t="s">
        <v>24</v>
      </c>
    </row>
    <row r="830" spans="1:16" hidden="1" x14ac:dyDescent="0.25">
      <c r="A830">
        <v>481795</v>
      </c>
      <c r="B830" t="str">
        <f>"528364495"</f>
        <v>528364495</v>
      </c>
      <c r="C830" t="s">
        <v>16</v>
      </c>
      <c r="D830" t="s">
        <v>2786</v>
      </c>
      <c r="E830" t="s">
        <v>18</v>
      </c>
      <c r="F830" t="s">
        <v>19</v>
      </c>
      <c r="G830" t="s">
        <v>886</v>
      </c>
      <c r="H830" t="s">
        <v>886</v>
      </c>
      <c r="I830" t="s">
        <v>21</v>
      </c>
      <c r="J830" t="s">
        <v>2787</v>
      </c>
      <c r="K830" t="str">
        <f>"9"</f>
        <v>9</v>
      </c>
      <c r="L830" t="str">
        <f>"bud A1"</f>
        <v>bud A1</v>
      </c>
      <c r="M830" t="str">
        <f>"00-728"</f>
        <v>00-728</v>
      </c>
      <c r="N830" t="str">
        <f>"601944288"</f>
        <v>601944288</v>
      </c>
      <c r="O830" t="s">
        <v>2788</v>
      </c>
      <c r="P830" t="s">
        <v>24</v>
      </c>
    </row>
    <row r="831" spans="1:16" hidden="1" x14ac:dyDescent="0.25">
      <c r="A831">
        <v>479971</v>
      </c>
      <c r="B831" t="str">
        <f>"524897697"</f>
        <v>524897697</v>
      </c>
      <c r="C831" t="s">
        <v>16</v>
      </c>
      <c r="D831" t="s">
        <v>2789</v>
      </c>
      <c r="E831" t="s">
        <v>117</v>
      </c>
      <c r="F831" t="s">
        <v>967</v>
      </c>
      <c r="G831" t="s">
        <v>967</v>
      </c>
      <c r="H831" t="s">
        <v>967</v>
      </c>
      <c r="I831" t="s">
        <v>30</v>
      </c>
      <c r="J831" t="s">
        <v>2790</v>
      </c>
      <c r="K831" t="str">
        <f>"42"</f>
        <v>42</v>
      </c>
      <c r="L831" t="str">
        <f>""</f>
        <v/>
      </c>
      <c r="M831" t="str">
        <f>"41-300"</f>
        <v>41-300</v>
      </c>
      <c r="N831" t="str">
        <f>"607300010"</f>
        <v>607300010</v>
      </c>
      <c r="P831" t="s">
        <v>24</v>
      </c>
    </row>
    <row r="832" spans="1:16" hidden="1" x14ac:dyDescent="0.25">
      <c r="A832">
        <v>480446</v>
      </c>
      <c r="B832" t="str">
        <f>"526026044"</f>
        <v>526026044</v>
      </c>
      <c r="C832" t="s">
        <v>16</v>
      </c>
      <c r="D832" t="s">
        <v>2791</v>
      </c>
      <c r="E832" t="s">
        <v>117</v>
      </c>
      <c r="F832" t="s">
        <v>350</v>
      </c>
      <c r="G832" t="s">
        <v>350</v>
      </c>
      <c r="H832" t="s">
        <v>350</v>
      </c>
      <c r="I832" t="s">
        <v>30</v>
      </c>
      <c r="J832" t="s">
        <v>2792</v>
      </c>
      <c r="K832" t="str">
        <f>"25"</f>
        <v>25</v>
      </c>
      <c r="L832" t="str">
        <f>""</f>
        <v/>
      </c>
      <c r="M832" t="str">
        <f>"44-207"</f>
        <v>44-207</v>
      </c>
      <c r="N832" t="str">
        <f>"502162365"</f>
        <v>502162365</v>
      </c>
      <c r="P832" t="s">
        <v>24</v>
      </c>
    </row>
    <row r="833" spans="1:16" hidden="1" x14ac:dyDescent="0.25">
      <c r="A833">
        <v>275344</v>
      </c>
      <c r="B833" t="str">
        <f>"386825224"</f>
        <v>386825224</v>
      </c>
      <c r="C833" t="s">
        <v>16</v>
      </c>
      <c r="D833" t="s">
        <v>2793</v>
      </c>
      <c r="E833" t="s">
        <v>18</v>
      </c>
      <c r="F833" t="s">
        <v>19</v>
      </c>
      <c r="G833" t="s">
        <v>149</v>
      </c>
      <c r="H833" t="s">
        <v>149</v>
      </c>
      <c r="I833" t="s">
        <v>21</v>
      </c>
      <c r="J833" t="s">
        <v>266</v>
      </c>
      <c r="K833" t="str">
        <f>"51"</f>
        <v>51</v>
      </c>
      <c r="L833" t="str">
        <f>"u9"</f>
        <v>u9</v>
      </c>
      <c r="M833" t="str">
        <f>"03-144"</f>
        <v>03-144</v>
      </c>
      <c r="N833" t="str">
        <f>"515601814"</f>
        <v>515601814</v>
      </c>
      <c r="O833" t="s">
        <v>2794</v>
      </c>
      <c r="P833" t="s">
        <v>24</v>
      </c>
    </row>
    <row r="834" spans="1:16" hidden="1" x14ac:dyDescent="0.25">
      <c r="A834">
        <v>272163</v>
      </c>
      <c r="B834" t="str">
        <f>"383981544"</f>
        <v>383981544</v>
      </c>
      <c r="C834" t="s">
        <v>16</v>
      </c>
      <c r="D834" t="s">
        <v>2795</v>
      </c>
      <c r="E834" t="s">
        <v>181</v>
      </c>
      <c r="F834" t="s">
        <v>2796</v>
      </c>
      <c r="G834" t="s">
        <v>2797</v>
      </c>
      <c r="H834" t="s">
        <v>2798</v>
      </c>
      <c r="I834" t="s">
        <v>68</v>
      </c>
      <c r="K834" t="str">
        <f>"2"</f>
        <v>2</v>
      </c>
      <c r="L834" t="str">
        <f>""</f>
        <v/>
      </c>
      <c r="M834" t="str">
        <f>"87-500"</f>
        <v>87-500</v>
      </c>
      <c r="N834" t="str">
        <f>"515801228"</f>
        <v>515801228</v>
      </c>
      <c r="O834" t="s">
        <v>2799</v>
      </c>
      <c r="P834" t="s">
        <v>24</v>
      </c>
    </row>
    <row r="835" spans="1:16" x14ac:dyDescent="0.25">
      <c r="A835" s="2">
        <v>481472</v>
      </c>
      <c r="B835" s="2" t="str">
        <f>"527320952"</f>
        <v>527320952</v>
      </c>
      <c r="C835" s="2" t="s">
        <v>16</v>
      </c>
      <c r="D835" s="2" t="s">
        <v>2800</v>
      </c>
      <c r="E835" s="2" t="s">
        <v>18</v>
      </c>
      <c r="F835" s="2" t="s">
        <v>19</v>
      </c>
      <c r="G835" s="2" t="s">
        <v>1345</v>
      </c>
      <c r="H835" s="2" t="s">
        <v>1345</v>
      </c>
      <c r="I835" s="2" t="s">
        <v>21</v>
      </c>
      <c r="J835" s="2" t="s">
        <v>2801</v>
      </c>
      <c r="K835" s="2" t="str">
        <f>"3"</f>
        <v>3</v>
      </c>
      <c r="L835" s="2" t="str">
        <f>""</f>
        <v/>
      </c>
      <c r="M835" s="2" t="str">
        <f>"03-531"</f>
        <v>03-531</v>
      </c>
      <c r="N835" s="2" t="str">
        <f>"502397548"</f>
        <v>502397548</v>
      </c>
      <c r="O835" s="2" t="s">
        <v>2802</v>
      </c>
      <c r="P835" s="2" t="s">
        <v>121</v>
      </c>
    </row>
    <row r="836" spans="1:16" hidden="1" x14ac:dyDescent="0.25">
      <c r="A836">
        <v>125500</v>
      </c>
      <c r="B836" t="str">
        <f>"147449980"</f>
        <v>147449980</v>
      </c>
      <c r="C836" t="s">
        <v>16</v>
      </c>
      <c r="D836" t="s">
        <v>2803</v>
      </c>
      <c r="E836" t="s">
        <v>18</v>
      </c>
      <c r="F836" t="s">
        <v>19</v>
      </c>
      <c r="G836" t="s">
        <v>393</v>
      </c>
      <c r="H836" t="s">
        <v>393</v>
      </c>
      <c r="I836" t="s">
        <v>21</v>
      </c>
      <c r="J836" t="s">
        <v>2804</v>
      </c>
      <c r="K836" t="str">
        <f>"24"</f>
        <v>24</v>
      </c>
      <c r="L836" t="str">
        <f>"26"</f>
        <v>26</v>
      </c>
      <c r="M836" t="str">
        <f>"00-549"</f>
        <v>00-549</v>
      </c>
      <c r="N836" t="str">
        <f>"602385342"</f>
        <v>602385342</v>
      </c>
      <c r="O836" t="s">
        <v>2805</v>
      </c>
      <c r="P836" t="s">
        <v>24</v>
      </c>
    </row>
    <row r="837" spans="1:16" hidden="1" x14ac:dyDescent="0.25">
      <c r="A837">
        <v>272925</v>
      </c>
      <c r="B837" t="str">
        <f>"384333675"</f>
        <v>384333675</v>
      </c>
      <c r="C837" t="s">
        <v>16</v>
      </c>
      <c r="D837" t="s">
        <v>2806</v>
      </c>
      <c r="E837" t="s">
        <v>97</v>
      </c>
      <c r="F837" t="s">
        <v>1545</v>
      </c>
      <c r="G837" t="s">
        <v>1546</v>
      </c>
      <c r="H837" t="s">
        <v>1546</v>
      </c>
      <c r="I837" t="s">
        <v>30</v>
      </c>
      <c r="J837" t="s">
        <v>2400</v>
      </c>
      <c r="K837" t="str">
        <f>"29"</f>
        <v>29</v>
      </c>
      <c r="L837" t="str">
        <f>""</f>
        <v/>
      </c>
      <c r="M837" t="str">
        <f>"16-300"</f>
        <v>16-300</v>
      </c>
      <c r="N837" t="str">
        <f>"792079590"</f>
        <v>792079590</v>
      </c>
      <c r="O837" t="s">
        <v>2807</v>
      </c>
      <c r="P837" t="s">
        <v>24</v>
      </c>
    </row>
    <row r="838" spans="1:16" hidden="1" x14ac:dyDescent="0.25">
      <c r="A838">
        <v>279514</v>
      </c>
      <c r="B838" t="str">
        <f>"521696768"</f>
        <v>521696768</v>
      </c>
      <c r="C838" t="s">
        <v>16</v>
      </c>
      <c r="D838" t="s">
        <v>2808</v>
      </c>
      <c r="E838" t="s">
        <v>64</v>
      </c>
      <c r="F838" t="s">
        <v>255</v>
      </c>
      <c r="G838" t="s">
        <v>356</v>
      </c>
      <c r="H838" t="s">
        <v>356</v>
      </c>
      <c r="I838" t="s">
        <v>42</v>
      </c>
      <c r="J838" t="s">
        <v>2809</v>
      </c>
      <c r="K838" t="str">
        <f>"118"</f>
        <v>118</v>
      </c>
      <c r="L838" t="str">
        <f>""</f>
        <v/>
      </c>
      <c r="M838" t="str">
        <f>"54-062"</f>
        <v>54-062</v>
      </c>
      <c r="N838" t="str">
        <f>"692930769"</f>
        <v>692930769</v>
      </c>
      <c r="O838" t="s">
        <v>2810</v>
      </c>
      <c r="P838" t="s">
        <v>24</v>
      </c>
    </row>
    <row r="839" spans="1:16" hidden="1" x14ac:dyDescent="0.25">
      <c r="A839">
        <v>481366</v>
      </c>
      <c r="B839" t="str">
        <f>"527031627"</f>
        <v>527031627</v>
      </c>
      <c r="C839" t="s">
        <v>16</v>
      </c>
      <c r="D839" t="s">
        <v>2811</v>
      </c>
      <c r="E839" t="s">
        <v>181</v>
      </c>
      <c r="F839" t="s">
        <v>305</v>
      </c>
      <c r="G839" t="s">
        <v>305</v>
      </c>
      <c r="H839" t="s">
        <v>305</v>
      </c>
      <c r="I839" t="s">
        <v>30</v>
      </c>
      <c r="J839" t="s">
        <v>1938</v>
      </c>
      <c r="K839" t="str">
        <f>"36 D"</f>
        <v>36 D</v>
      </c>
      <c r="L839" t="str">
        <f>""</f>
        <v/>
      </c>
      <c r="M839" t="str">
        <f>"87-100"</f>
        <v>87-100</v>
      </c>
      <c r="N839" t="str">
        <f>"570529775"</f>
        <v>570529775</v>
      </c>
      <c r="O839" t="s">
        <v>2812</v>
      </c>
      <c r="P839" t="s">
        <v>24</v>
      </c>
    </row>
    <row r="840" spans="1:16" hidden="1" x14ac:dyDescent="0.25">
      <c r="A840">
        <v>130536</v>
      </c>
      <c r="B840" t="str">
        <f>"364160380"</f>
        <v>364160380</v>
      </c>
      <c r="C840" t="s">
        <v>16</v>
      </c>
      <c r="D840" t="s">
        <v>2813</v>
      </c>
      <c r="E840" t="s">
        <v>18</v>
      </c>
      <c r="F840" t="s">
        <v>19</v>
      </c>
      <c r="G840" t="s">
        <v>20</v>
      </c>
      <c r="H840" t="s">
        <v>20</v>
      </c>
      <c r="I840" t="s">
        <v>21</v>
      </c>
      <c r="J840" t="s">
        <v>2814</v>
      </c>
      <c r="K840" t="str">
        <f>"10"</f>
        <v>10</v>
      </c>
      <c r="L840" t="str">
        <f>""</f>
        <v/>
      </c>
      <c r="M840" t="str">
        <f>"02-778"</f>
        <v>02-778</v>
      </c>
      <c r="N840" t="str">
        <f>"608422160"</f>
        <v>608422160</v>
      </c>
      <c r="O840" t="s">
        <v>2815</v>
      </c>
      <c r="P840" t="s">
        <v>24</v>
      </c>
    </row>
    <row r="841" spans="1:16" hidden="1" x14ac:dyDescent="0.25">
      <c r="A841">
        <v>71154</v>
      </c>
      <c r="B841" t="str">
        <f>"122698919"</f>
        <v>122698919</v>
      </c>
      <c r="C841" t="s">
        <v>16</v>
      </c>
      <c r="D841" t="s">
        <v>2816</v>
      </c>
      <c r="E841" t="s">
        <v>27</v>
      </c>
      <c r="F841" t="s">
        <v>123</v>
      </c>
      <c r="G841" t="s">
        <v>124</v>
      </c>
      <c r="H841" t="s">
        <v>124</v>
      </c>
      <c r="I841" t="s">
        <v>42</v>
      </c>
      <c r="J841" t="s">
        <v>2817</v>
      </c>
      <c r="K841" t="str">
        <f>"15"</f>
        <v>15</v>
      </c>
      <c r="L841" t="str">
        <f>"1-2"</f>
        <v>1-2</v>
      </c>
      <c r="M841" t="str">
        <f>"30-349"</f>
        <v>30-349</v>
      </c>
      <c r="N841" t="str">
        <f>"124225329"</f>
        <v>124225329</v>
      </c>
      <c r="O841" t="s">
        <v>2818</v>
      </c>
      <c r="P841" t="s">
        <v>24</v>
      </c>
    </row>
    <row r="842" spans="1:16" x14ac:dyDescent="0.25">
      <c r="A842" s="2">
        <v>125467</v>
      </c>
      <c r="B842" s="2" t="str">
        <f>"000717577"</f>
        <v>000717577</v>
      </c>
      <c r="C842" s="2" t="s">
        <v>16</v>
      </c>
      <c r="D842" s="2" t="s">
        <v>2819</v>
      </c>
      <c r="E842" s="2" t="s">
        <v>157</v>
      </c>
      <c r="F842" s="2" t="s">
        <v>158</v>
      </c>
      <c r="G842" s="2" t="s">
        <v>159</v>
      </c>
      <c r="H842" s="2" t="s">
        <v>159</v>
      </c>
      <c r="I842" s="2" t="s">
        <v>42</v>
      </c>
      <c r="J842" s="2" t="s">
        <v>1572</v>
      </c>
      <c r="K842" s="2" t="str">
        <f>"54"</f>
        <v>54</v>
      </c>
      <c r="L842" s="2" t="str">
        <f>"56"</f>
        <v>56</v>
      </c>
      <c r="M842" s="2" t="str">
        <f>"60-521"</f>
        <v>60-521</v>
      </c>
      <c r="N842" s="2" t="str">
        <f>"616397666"</f>
        <v>616397666</v>
      </c>
      <c r="O842" s="2" t="s">
        <v>2820</v>
      </c>
      <c r="P842" s="2" t="s">
        <v>121</v>
      </c>
    </row>
    <row r="843" spans="1:16" x14ac:dyDescent="0.25">
      <c r="A843" s="2">
        <v>47365</v>
      </c>
      <c r="B843" s="2" t="str">
        <f>"000708006"</f>
        <v>000708006</v>
      </c>
      <c r="C843" s="2" t="s">
        <v>16</v>
      </c>
      <c r="D843" s="2" t="s">
        <v>2821</v>
      </c>
      <c r="E843" s="2" t="s">
        <v>157</v>
      </c>
      <c r="F843" s="2" t="s">
        <v>158</v>
      </c>
      <c r="G843" s="2" t="s">
        <v>790</v>
      </c>
      <c r="H843" s="2" t="s">
        <v>790</v>
      </c>
      <c r="I843" s="2" t="s">
        <v>42</v>
      </c>
      <c r="J843" s="2" t="s">
        <v>2822</v>
      </c>
      <c r="K843" s="2" t="str">
        <f>"296/29"</f>
        <v>296/29</v>
      </c>
      <c r="L843" s="2" t="str">
        <f>""</f>
        <v/>
      </c>
      <c r="M843" s="2" t="str">
        <f>"61-469"</f>
        <v>61-469</v>
      </c>
      <c r="N843" s="2" t="str">
        <f>"616704037"</f>
        <v>616704037</v>
      </c>
      <c r="O843" s="2" t="s">
        <v>2823</v>
      </c>
      <c r="P843" s="2" t="s">
        <v>121</v>
      </c>
    </row>
    <row r="844" spans="1:16" x14ac:dyDescent="0.25">
      <c r="A844" s="2">
        <v>68389</v>
      </c>
      <c r="B844" s="2" t="str">
        <f>"650971401"</f>
        <v>650971401</v>
      </c>
      <c r="C844" s="2" t="s">
        <v>16</v>
      </c>
      <c r="D844" s="2" t="s">
        <v>2824</v>
      </c>
      <c r="E844" s="2" t="s">
        <v>101</v>
      </c>
      <c r="F844" s="2" t="s">
        <v>1851</v>
      </c>
      <c r="G844" s="2" t="s">
        <v>1851</v>
      </c>
      <c r="H844" s="2" t="s">
        <v>1851</v>
      </c>
      <c r="I844" s="2" t="s">
        <v>30</v>
      </c>
      <c r="J844" s="2" t="s">
        <v>2825</v>
      </c>
      <c r="K844" s="2" t="str">
        <f>"1"</f>
        <v>1</v>
      </c>
      <c r="L844" s="2" t="str">
        <f>""</f>
        <v/>
      </c>
      <c r="M844" s="2" t="str">
        <f>"37-700"</f>
        <v>37-700</v>
      </c>
      <c r="N844" s="2" t="str">
        <f>"166787998"</f>
        <v>166787998</v>
      </c>
      <c r="O844" s="2" t="s">
        <v>2826</v>
      </c>
      <c r="P844" s="2" t="s">
        <v>121</v>
      </c>
    </row>
    <row r="845" spans="1:16" hidden="1" x14ac:dyDescent="0.25">
      <c r="A845">
        <v>123599</v>
      </c>
      <c r="B845" t="str">
        <f>"302775368"</f>
        <v>302775368</v>
      </c>
      <c r="C845" t="s">
        <v>16</v>
      </c>
      <c r="D845" t="s">
        <v>2827</v>
      </c>
      <c r="E845" t="s">
        <v>157</v>
      </c>
      <c r="F845" t="s">
        <v>158</v>
      </c>
      <c r="G845" t="s">
        <v>159</v>
      </c>
      <c r="H845" t="s">
        <v>159</v>
      </c>
      <c r="I845" t="s">
        <v>42</v>
      </c>
      <c r="J845" t="s">
        <v>2828</v>
      </c>
      <c r="K845" t="str">
        <f>"9"</f>
        <v>9</v>
      </c>
      <c r="L845" t="str">
        <f>""</f>
        <v/>
      </c>
      <c r="M845" t="str">
        <f>"60-626"</f>
        <v>60-626</v>
      </c>
      <c r="N845" t="str">
        <f>"692622723"</f>
        <v>692622723</v>
      </c>
      <c r="P845" t="s">
        <v>24</v>
      </c>
    </row>
    <row r="846" spans="1:16" hidden="1" x14ac:dyDescent="0.25">
      <c r="A846">
        <v>273740</v>
      </c>
      <c r="B846" t="str">
        <f>"384596676"</f>
        <v>384596676</v>
      </c>
      <c r="C846" t="s">
        <v>16</v>
      </c>
      <c r="D846" t="s">
        <v>2829</v>
      </c>
      <c r="E846" t="s">
        <v>18</v>
      </c>
      <c r="F846" t="s">
        <v>106</v>
      </c>
      <c r="G846" t="s">
        <v>107</v>
      </c>
      <c r="H846" t="s">
        <v>107</v>
      </c>
      <c r="I846" t="s">
        <v>30</v>
      </c>
      <c r="J846" t="s">
        <v>2738</v>
      </c>
      <c r="K846" t="str">
        <f>"39"</f>
        <v>39</v>
      </c>
      <c r="L846" t="str">
        <f>"8"</f>
        <v>8</v>
      </c>
      <c r="M846" t="str">
        <f>"05-500"</f>
        <v>05-500</v>
      </c>
      <c r="N846" t="str">
        <f>"668927239"</f>
        <v>668927239</v>
      </c>
      <c r="O846" t="s">
        <v>2830</v>
      </c>
      <c r="P846" t="s">
        <v>24</v>
      </c>
    </row>
    <row r="847" spans="1:16" hidden="1" x14ac:dyDescent="0.25">
      <c r="A847">
        <v>122902</v>
      </c>
      <c r="B847" t="str">
        <f>"147208005"</f>
        <v>147208005</v>
      </c>
      <c r="C847" t="s">
        <v>16</v>
      </c>
      <c r="D847" t="s">
        <v>2831</v>
      </c>
      <c r="E847" t="s">
        <v>18</v>
      </c>
      <c r="F847" t="s">
        <v>451</v>
      </c>
      <c r="G847" t="s">
        <v>452</v>
      </c>
      <c r="H847" t="s">
        <v>452</v>
      </c>
      <c r="I847" t="s">
        <v>30</v>
      </c>
      <c r="J847" t="s">
        <v>2832</v>
      </c>
      <c r="K847" t="str">
        <f>"43"</f>
        <v>43</v>
      </c>
      <c r="L847" t="str">
        <f>""</f>
        <v/>
      </c>
      <c r="M847" t="str">
        <f>"05-270"</f>
        <v>05-270</v>
      </c>
      <c r="N847" t="str">
        <f>"503322500"</f>
        <v>503322500</v>
      </c>
      <c r="O847" t="s">
        <v>2833</v>
      </c>
      <c r="P847" t="s">
        <v>24</v>
      </c>
    </row>
    <row r="848" spans="1:16" hidden="1" x14ac:dyDescent="0.25">
      <c r="A848">
        <v>115539</v>
      </c>
      <c r="B848" t="str">
        <f>"221914499"</f>
        <v>221914499</v>
      </c>
      <c r="C848" t="s">
        <v>16</v>
      </c>
      <c r="D848" t="s">
        <v>2835</v>
      </c>
      <c r="E848" t="s">
        <v>80</v>
      </c>
      <c r="F848" t="s">
        <v>339</v>
      </c>
      <c r="G848" t="s">
        <v>339</v>
      </c>
      <c r="H848" t="s">
        <v>339</v>
      </c>
      <c r="I848" t="s">
        <v>30</v>
      </c>
      <c r="J848" t="s">
        <v>2836</v>
      </c>
      <c r="K848" t="str">
        <f>"186"</f>
        <v>186</v>
      </c>
      <c r="L848" t="str">
        <f>""</f>
        <v/>
      </c>
      <c r="M848" t="str">
        <f>"80-266"</f>
        <v>80-266</v>
      </c>
      <c r="N848" t="str">
        <f>"661966696"</f>
        <v>661966696</v>
      </c>
      <c r="O848" t="s">
        <v>2837</v>
      </c>
      <c r="P848" t="s">
        <v>24</v>
      </c>
    </row>
    <row r="849" spans="1:16" hidden="1" x14ac:dyDescent="0.25">
      <c r="A849">
        <v>479431</v>
      </c>
      <c r="B849" t="str">
        <f>"523482735"</f>
        <v>523482735</v>
      </c>
      <c r="C849" t="s">
        <v>16</v>
      </c>
      <c r="D849" t="s">
        <v>2838</v>
      </c>
      <c r="E849" t="s">
        <v>64</v>
      </c>
      <c r="F849" t="s">
        <v>255</v>
      </c>
      <c r="G849" t="s">
        <v>1222</v>
      </c>
      <c r="H849" t="s">
        <v>1222</v>
      </c>
      <c r="I849" t="s">
        <v>42</v>
      </c>
      <c r="J849" t="s">
        <v>2839</v>
      </c>
      <c r="K849" t="str">
        <f>"36-38"</f>
        <v>36-38</v>
      </c>
      <c r="L849" t="str">
        <f>""</f>
        <v/>
      </c>
      <c r="M849" t="str">
        <f>"53-608"</f>
        <v>53-608</v>
      </c>
      <c r="N849" t="str">
        <f>"882834772"</f>
        <v>882834772</v>
      </c>
      <c r="O849" t="s">
        <v>2840</v>
      </c>
      <c r="P849" t="s">
        <v>24</v>
      </c>
    </row>
    <row r="850" spans="1:16" hidden="1" x14ac:dyDescent="0.25">
      <c r="A850">
        <v>274028</v>
      </c>
      <c r="B850" t="str">
        <f>"385038530"</f>
        <v>385038530</v>
      </c>
      <c r="C850" t="s">
        <v>16</v>
      </c>
      <c r="D850" t="s">
        <v>2841</v>
      </c>
      <c r="E850" t="s">
        <v>112</v>
      </c>
      <c r="F850" t="s">
        <v>113</v>
      </c>
      <c r="G850" t="s">
        <v>113</v>
      </c>
      <c r="H850" t="s">
        <v>113</v>
      </c>
      <c r="I850" t="s">
        <v>30</v>
      </c>
      <c r="J850" t="s">
        <v>2842</v>
      </c>
      <c r="K850" t="str">
        <f>"94"</f>
        <v>94</v>
      </c>
      <c r="L850" t="str">
        <f>""</f>
        <v/>
      </c>
      <c r="M850" t="str">
        <f>"20-824"</f>
        <v>20-824</v>
      </c>
      <c r="N850" t="str">
        <f>"817416811"</f>
        <v>817416811</v>
      </c>
      <c r="O850" t="s">
        <v>2843</v>
      </c>
      <c r="P850" t="s">
        <v>24</v>
      </c>
    </row>
    <row r="851" spans="1:16" hidden="1" x14ac:dyDescent="0.25">
      <c r="A851">
        <v>276474</v>
      </c>
      <c r="B851" t="str">
        <f>"387157629"</f>
        <v>387157629</v>
      </c>
      <c r="C851" t="s">
        <v>16</v>
      </c>
      <c r="D851" t="s">
        <v>2844</v>
      </c>
      <c r="E851" t="s">
        <v>18</v>
      </c>
      <c r="F851" t="s">
        <v>19</v>
      </c>
      <c r="G851" t="s">
        <v>149</v>
      </c>
      <c r="H851" t="s">
        <v>149</v>
      </c>
      <c r="I851" t="s">
        <v>21</v>
      </c>
      <c r="J851" t="s">
        <v>2845</v>
      </c>
      <c r="K851" t="str">
        <f>"18"</f>
        <v>18</v>
      </c>
      <c r="L851" t="str">
        <f>""</f>
        <v/>
      </c>
      <c r="M851" t="str">
        <f>"03-074"</f>
        <v>03-074</v>
      </c>
      <c r="N851" t="str">
        <f>"609804320"</f>
        <v>609804320</v>
      </c>
      <c r="O851" t="s">
        <v>2846</v>
      </c>
      <c r="P851" t="s">
        <v>24</v>
      </c>
    </row>
    <row r="852" spans="1:16" hidden="1" x14ac:dyDescent="0.25">
      <c r="A852">
        <v>9720</v>
      </c>
      <c r="B852" t="str">
        <f>"200724677"</f>
        <v>200724677</v>
      </c>
      <c r="C852" t="s">
        <v>16</v>
      </c>
      <c r="D852" t="s">
        <v>2847</v>
      </c>
      <c r="E852" t="s">
        <v>97</v>
      </c>
      <c r="F852" t="s">
        <v>98</v>
      </c>
      <c r="G852" t="s">
        <v>98</v>
      </c>
      <c r="H852" t="s">
        <v>98</v>
      </c>
      <c r="I852" t="s">
        <v>30</v>
      </c>
      <c r="J852" t="s">
        <v>2848</v>
      </c>
      <c r="K852" t="str">
        <f>"11"</f>
        <v>11</v>
      </c>
      <c r="L852" t="str">
        <f>"1.3"</f>
        <v>1.3</v>
      </c>
      <c r="M852" t="str">
        <f>"15-740"</f>
        <v>15-740</v>
      </c>
      <c r="N852" t="str">
        <f>"857438863"</f>
        <v>857438863</v>
      </c>
      <c r="O852" t="s">
        <v>2849</v>
      </c>
      <c r="P852" t="s">
        <v>24</v>
      </c>
    </row>
    <row r="853" spans="1:16" hidden="1" x14ac:dyDescent="0.25">
      <c r="A853">
        <v>120390</v>
      </c>
      <c r="B853" t="str">
        <f>"146899467"</f>
        <v>146899467</v>
      </c>
      <c r="C853" t="s">
        <v>16</v>
      </c>
      <c r="D853" t="s">
        <v>2850</v>
      </c>
      <c r="E853" t="s">
        <v>18</v>
      </c>
      <c r="F853" t="s">
        <v>134</v>
      </c>
      <c r="G853" t="s">
        <v>134</v>
      </c>
      <c r="H853" t="s">
        <v>134</v>
      </c>
      <c r="I853" t="s">
        <v>30</v>
      </c>
      <c r="J853" t="s">
        <v>2851</v>
      </c>
      <c r="K853" t="str">
        <f>"3A"</f>
        <v>3A</v>
      </c>
      <c r="L853" t="str">
        <f>""</f>
        <v/>
      </c>
      <c r="M853" t="str">
        <f>"09-402"</f>
        <v>09-402</v>
      </c>
      <c r="N853" t="str">
        <f>"242641751"</f>
        <v>242641751</v>
      </c>
      <c r="O853" t="s">
        <v>2852</v>
      </c>
      <c r="P853" t="s">
        <v>24</v>
      </c>
    </row>
    <row r="854" spans="1:16" hidden="1" x14ac:dyDescent="0.25">
      <c r="A854">
        <v>481649</v>
      </c>
      <c r="B854" t="str">
        <f>"527806034"</f>
        <v>527806034</v>
      </c>
      <c r="C854" t="s">
        <v>16</v>
      </c>
      <c r="D854" t="s">
        <v>2853</v>
      </c>
      <c r="E854" t="s">
        <v>80</v>
      </c>
      <c r="F854" t="s">
        <v>549</v>
      </c>
      <c r="G854" t="s">
        <v>550</v>
      </c>
      <c r="H854" t="s">
        <v>550</v>
      </c>
      <c r="I854" t="s">
        <v>30</v>
      </c>
      <c r="J854" t="s">
        <v>1366</v>
      </c>
      <c r="K854" t="str">
        <f>"21"</f>
        <v>21</v>
      </c>
      <c r="L854" t="str">
        <f>""</f>
        <v/>
      </c>
      <c r="M854" t="str">
        <f>"84-300"</f>
        <v>84-300</v>
      </c>
      <c r="N854" t="str">
        <f>"607300478"</f>
        <v>607300478</v>
      </c>
      <c r="O854" t="s">
        <v>2854</v>
      </c>
      <c r="P854" t="s">
        <v>24</v>
      </c>
    </row>
    <row r="855" spans="1:16" x14ac:dyDescent="0.25">
      <c r="A855" s="2">
        <v>4899</v>
      </c>
      <c r="B855" s="2" t="str">
        <f>"000703115"</f>
        <v>000703115</v>
      </c>
      <c r="C855" s="2" t="s">
        <v>16</v>
      </c>
      <c r="D855" s="2" t="s">
        <v>2855</v>
      </c>
      <c r="E855" s="2" t="s">
        <v>34</v>
      </c>
      <c r="F855" s="2" t="s">
        <v>35</v>
      </c>
      <c r="G855" s="2" t="s">
        <v>35</v>
      </c>
      <c r="H855" s="2" t="s">
        <v>35</v>
      </c>
      <c r="I855" s="2" t="s">
        <v>30</v>
      </c>
      <c r="J855" s="2" t="s">
        <v>2856</v>
      </c>
      <c r="K855" s="2" t="str">
        <f>"2"</f>
        <v>2</v>
      </c>
      <c r="L855" s="2" t="str">
        <f>""</f>
        <v/>
      </c>
      <c r="M855" s="2" t="str">
        <f>"70-413"</f>
        <v>70-413</v>
      </c>
      <c r="N855" s="2" t="str">
        <f>"914339040"</f>
        <v>914339040</v>
      </c>
      <c r="O855" s="2" t="s">
        <v>2857</v>
      </c>
      <c r="P855" s="2" t="s">
        <v>121</v>
      </c>
    </row>
    <row r="856" spans="1:16" x14ac:dyDescent="0.25">
      <c r="A856" s="2">
        <v>22911</v>
      </c>
      <c r="B856" s="2" t="str">
        <f>"001097639"</f>
        <v>001097639</v>
      </c>
      <c r="C856" s="2" t="s">
        <v>16</v>
      </c>
      <c r="D856" s="2" t="s">
        <v>2855</v>
      </c>
      <c r="E856" s="2" t="s">
        <v>101</v>
      </c>
      <c r="F856" s="2" t="s">
        <v>429</v>
      </c>
      <c r="G856" s="2" t="s">
        <v>429</v>
      </c>
      <c r="H856" s="2" t="s">
        <v>429</v>
      </c>
      <c r="I856" s="2" t="s">
        <v>30</v>
      </c>
      <c r="J856" s="2" t="s">
        <v>823</v>
      </c>
      <c r="K856" s="2" t="str">
        <f>"2"</f>
        <v>2</v>
      </c>
      <c r="L856" s="2" t="str">
        <f>""</f>
        <v/>
      </c>
      <c r="M856" s="2" t="str">
        <f>"38-400"</f>
        <v>38-400</v>
      </c>
      <c r="N856" s="2" t="str">
        <f>"134321156"</f>
        <v>134321156</v>
      </c>
      <c r="O856" s="2" t="s">
        <v>2858</v>
      </c>
      <c r="P856" s="2" t="s">
        <v>121</v>
      </c>
    </row>
    <row r="857" spans="1:16" x14ac:dyDescent="0.25">
      <c r="A857" s="2">
        <v>27560</v>
      </c>
      <c r="B857" s="2" t="str">
        <f>"000731086"</f>
        <v>000731086</v>
      </c>
      <c r="C857" s="2" t="s">
        <v>16</v>
      </c>
      <c r="D857" s="2" t="s">
        <v>2855</v>
      </c>
      <c r="E857" s="2" t="s">
        <v>39</v>
      </c>
      <c r="F857" s="2" t="s">
        <v>40</v>
      </c>
      <c r="G857" s="2" t="s">
        <v>40</v>
      </c>
      <c r="H857" s="2" t="s">
        <v>40</v>
      </c>
      <c r="I857" s="2" t="s">
        <v>30</v>
      </c>
      <c r="J857" s="2" t="s">
        <v>2859</v>
      </c>
      <c r="K857" s="2" t="str">
        <f>"3/5"</f>
        <v>3/5</v>
      </c>
      <c r="L857" s="2" t="str">
        <f>""</f>
        <v/>
      </c>
      <c r="M857" s="2" t="str">
        <f>"91-335"</f>
        <v>91-335</v>
      </c>
      <c r="N857" s="2" t="str">
        <f>"690418676"</f>
        <v>690418676</v>
      </c>
      <c r="O857" s="2" t="s">
        <v>2860</v>
      </c>
      <c r="P857" s="2" t="s">
        <v>121</v>
      </c>
    </row>
    <row r="858" spans="1:16" x14ac:dyDescent="0.25">
      <c r="A858" s="2">
        <v>6528</v>
      </c>
      <c r="B858" s="2" t="str">
        <f>"000223094"</f>
        <v>000223094</v>
      </c>
      <c r="C858" s="2" t="s">
        <v>16</v>
      </c>
      <c r="D858" s="2" t="s">
        <v>2855</v>
      </c>
      <c r="E858" s="2" t="s">
        <v>181</v>
      </c>
      <c r="F858" s="2" t="s">
        <v>437</v>
      </c>
      <c r="G858" s="2" t="s">
        <v>437</v>
      </c>
      <c r="H858" s="2" t="s">
        <v>437</v>
      </c>
      <c r="I858" s="2" t="s">
        <v>30</v>
      </c>
      <c r="J858" s="2" t="s">
        <v>99</v>
      </c>
      <c r="K858" s="2" t="str">
        <f>"10"</f>
        <v>10</v>
      </c>
      <c r="L858" s="2" t="str">
        <f>""</f>
        <v/>
      </c>
      <c r="M858" s="2" t="str">
        <f>"85-060"</f>
        <v>85-060</v>
      </c>
      <c r="N858" s="2" t="str">
        <f>"523225206"</f>
        <v>523225206</v>
      </c>
      <c r="O858" s="2" t="s">
        <v>2861</v>
      </c>
      <c r="P858" s="2" t="s">
        <v>121</v>
      </c>
    </row>
    <row r="859" spans="1:16" x14ac:dyDescent="0.25">
      <c r="A859" s="2">
        <v>85238</v>
      </c>
      <c r="B859" s="2" t="str">
        <f>"000722532"</f>
        <v>000722532</v>
      </c>
      <c r="C859" s="2" t="s">
        <v>16</v>
      </c>
      <c r="D859" s="2" t="s">
        <v>2855</v>
      </c>
      <c r="E859" s="2" t="s">
        <v>117</v>
      </c>
      <c r="F859" s="2" t="s">
        <v>382</v>
      </c>
      <c r="G859" s="2" t="s">
        <v>382</v>
      </c>
      <c r="H859" s="2" t="s">
        <v>382</v>
      </c>
      <c r="I859" s="2" t="s">
        <v>30</v>
      </c>
      <c r="J859" s="2" t="s">
        <v>2307</v>
      </c>
      <c r="K859" s="2" t="str">
        <f>"14"</f>
        <v>14</v>
      </c>
      <c r="L859" s="2" t="str">
        <f>""</f>
        <v/>
      </c>
      <c r="M859" s="2" t="str">
        <f>"40-837"</f>
        <v>40-837</v>
      </c>
      <c r="N859" s="2" t="str">
        <f>"322542312"</f>
        <v>322542312</v>
      </c>
      <c r="O859" s="2" t="s">
        <v>2862</v>
      </c>
      <c r="P859" s="2" t="s">
        <v>121</v>
      </c>
    </row>
    <row r="860" spans="1:16" x14ac:dyDescent="0.25">
      <c r="A860" s="2">
        <v>20912</v>
      </c>
      <c r="B860" s="2" t="str">
        <f>"020158843"</f>
        <v>020158843</v>
      </c>
      <c r="C860" s="2" t="s">
        <v>16</v>
      </c>
      <c r="D860" s="2" t="s">
        <v>2855</v>
      </c>
      <c r="E860" s="2" t="s">
        <v>64</v>
      </c>
      <c r="F860" s="2" t="s">
        <v>255</v>
      </c>
      <c r="G860" s="2" t="s">
        <v>1222</v>
      </c>
      <c r="H860" s="2" t="s">
        <v>1222</v>
      </c>
      <c r="I860" s="2" t="s">
        <v>42</v>
      </c>
      <c r="J860" s="2" t="s">
        <v>188</v>
      </c>
      <c r="K860" s="2" t="str">
        <f>"31"</f>
        <v>31</v>
      </c>
      <c r="L860" s="2" t="str">
        <f>"1"</f>
        <v>1</v>
      </c>
      <c r="M860" s="2" t="str">
        <f>"50-011"</f>
        <v>50-011</v>
      </c>
      <c r="N860" s="2" t="str">
        <f>"717986828"</f>
        <v>717986828</v>
      </c>
      <c r="O860" s="2" t="s">
        <v>2863</v>
      </c>
      <c r="P860" s="2" t="s">
        <v>121</v>
      </c>
    </row>
    <row r="861" spans="1:16" x14ac:dyDescent="0.25">
      <c r="A861" s="2">
        <v>43602</v>
      </c>
      <c r="B861" s="2" t="str">
        <f>"611073983"</f>
        <v>611073983</v>
      </c>
      <c r="C861" s="2" t="s">
        <v>16</v>
      </c>
      <c r="D861" s="2" t="s">
        <v>2864</v>
      </c>
      <c r="E861" s="2" t="s">
        <v>18</v>
      </c>
      <c r="F861" s="2" t="s">
        <v>134</v>
      </c>
      <c r="G861" s="2" t="s">
        <v>134</v>
      </c>
      <c r="H861" s="2" t="s">
        <v>134</v>
      </c>
      <c r="I861" s="2" t="s">
        <v>30</v>
      </c>
      <c r="J861" s="2" t="s">
        <v>2865</v>
      </c>
      <c r="K861" s="2" t="str">
        <f>"7"</f>
        <v>7</v>
      </c>
      <c r="L861" s="2" t="str">
        <f>""</f>
        <v/>
      </c>
      <c r="M861" s="2" t="str">
        <f>"09-400"</f>
        <v>09-400</v>
      </c>
      <c r="N861" s="2" t="str">
        <f>"243672323"</f>
        <v>243672323</v>
      </c>
      <c r="O861" s="2" t="s">
        <v>2866</v>
      </c>
      <c r="P861" s="2" t="s">
        <v>121</v>
      </c>
    </row>
    <row r="862" spans="1:16" x14ac:dyDescent="0.25">
      <c r="A862" s="2">
        <v>12014</v>
      </c>
      <c r="B862" s="2" t="str">
        <f>"000690536"</f>
        <v>000690536</v>
      </c>
      <c r="C862" s="2" t="s">
        <v>16</v>
      </c>
      <c r="D862" s="2" t="s">
        <v>2867</v>
      </c>
      <c r="E862" s="2" t="s">
        <v>97</v>
      </c>
      <c r="F862" s="2" t="s">
        <v>98</v>
      </c>
      <c r="G862" s="2" t="s">
        <v>98</v>
      </c>
      <c r="H862" s="2" t="s">
        <v>98</v>
      </c>
      <c r="I862" s="2" t="s">
        <v>30</v>
      </c>
      <c r="J862" s="2" t="s">
        <v>2327</v>
      </c>
      <c r="K862" s="2" t="str">
        <f>"2"</f>
        <v>2</v>
      </c>
      <c r="L862" s="2" t="str">
        <f>""</f>
        <v/>
      </c>
      <c r="M862" s="2" t="str">
        <f>"15-439"</f>
        <v>15-439</v>
      </c>
      <c r="N862" s="2" t="str">
        <f>"857445350"</f>
        <v>857445350</v>
      </c>
      <c r="O862" s="2" t="s">
        <v>2868</v>
      </c>
      <c r="P862" s="2" t="s">
        <v>121</v>
      </c>
    </row>
    <row r="863" spans="1:16" x14ac:dyDescent="0.25">
      <c r="A863" s="2">
        <v>28140</v>
      </c>
      <c r="B863" s="2" t="str">
        <f>"000712723"</f>
        <v>000712723</v>
      </c>
      <c r="C863" s="2" t="s">
        <v>16</v>
      </c>
      <c r="D863" s="2" t="s">
        <v>2869</v>
      </c>
      <c r="E863" s="2" t="s">
        <v>112</v>
      </c>
      <c r="F863" s="2" t="s">
        <v>839</v>
      </c>
      <c r="G863" s="2" t="s">
        <v>839</v>
      </c>
      <c r="H863" s="2" t="s">
        <v>839</v>
      </c>
      <c r="I863" s="2" t="s">
        <v>30</v>
      </c>
      <c r="J863" s="2" t="s">
        <v>2870</v>
      </c>
      <c r="K863" s="2" t="str">
        <f>"5"</f>
        <v>5</v>
      </c>
      <c r="L863" s="2" t="str">
        <f>""</f>
        <v/>
      </c>
      <c r="M863" s="2" t="str">
        <f>"22-100"</f>
        <v>22-100</v>
      </c>
      <c r="N863" s="2" t="str">
        <f>"825659461"</f>
        <v>825659461</v>
      </c>
      <c r="O863" s="2" t="s">
        <v>2871</v>
      </c>
      <c r="P863" s="2" t="s">
        <v>121</v>
      </c>
    </row>
    <row r="864" spans="1:16" x14ac:dyDescent="0.25">
      <c r="A864" s="2">
        <v>7750</v>
      </c>
      <c r="B864" s="2" t="str">
        <f>"000736793"</f>
        <v>000736793</v>
      </c>
      <c r="C864" s="2" t="s">
        <v>16</v>
      </c>
      <c r="D864" s="2" t="s">
        <v>2872</v>
      </c>
      <c r="E864" s="2" t="s">
        <v>80</v>
      </c>
      <c r="F864" s="2" t="s">
        <v>339</v>
      </c>
      <c r="G864" s="2" t="s">
        <v>339</v>
      </c>
      <c r="H864" s="2" t="s">
        <v>339</v>
      </c>
      <c r="I864" s="2" t="s">
        <v>30</v>
      </c>
      <c r="J864" s="2" t="s">
        <v>2873</v>
      </c>
      <c r="K864" s="2" t="str">
        <f>"1"</f>
        <v>1</v>
      </c>
      <c r="L864" s="2" t="str">
        <f>""</f>
        <v/>
      </c>
      <c r="M864" s="2" t="str">
        <f>"80-259"</f>
        <v>80-259</v>
      </c>
      <c r="N864" s="2" t="str">
        <f>"583418758"</f>
        <v>583418758</v>
      </c>
      <c r="O864" s="2" t="s">
        <v>2874</v>
      </c>
      <c r="P864" s="2" t="s">
        <v>121</v>
      </c>
    </row>
    <row r="865" spans="1:16" x14ac:dyDescent="0.25">
      <c r="A865" s="2">
        <v>29182</v>
      </c>
      <c r="B865" s="2" t="str">
        <f>"210240894"</f>
        <v>210240894</v>
      </c>
      <c r="C865" s="2" t="s">
        <v>16</v>
      </c>
      <c r="D865" s="2" t="s">
        <v>2875</v>
      </c>
      <c r="E865" s="2" t="s">
        <v>240</v>
      </c>
      <c r="F865" s="2" t="s">
        <v>473</v>
      </c>
      <c r="G865" s="2" t="s">
        <v>473</v>
      </c>
      <c r="H865" s="2" t="s">
        <v>473</v>
      </c>
      <c r="I865" s="2" t="s">
        <v>30</v>
      </c>
      <c r="J865" s="2" t="s">
        <v>2876</v>
      </c>
      <c r="K865" s="2" t="str">
        <f>"5-7"</f>
        <v>5-7</v>
      </c>
      <c r="L865" s="2" t="str">
        <f>""</f>
        <v/>
      </c>
      <c r="M865" s="2" t="str">
        <f>"66-400"</f>
        <v>66-400</v>
      </c>
      <c r="N865" s="2" t="str">
        <f>"957330468"</f>
        <v>957330468</v>
      </c>
      <c r="O865" s="2" t="s">
        <v>2877</v>
      </c>
      <c r="P865" s="2" t="s">
        <v>121</v>
      </c>
    </row>
    <row r="866" spans="1:16" x14ac:dyDescent="0.25">
      <c r="A866" s="2">
        <v>12965</v>
      </c>
      <c r="B866" s="2" t="str">
        <f>"000694209"</f>
        <v>000694209</v>
      </c>
      <c r="C866" s="2" t="s">
        <v>16</v>
      </c>
      <c r="D866" s="2" t="s">
        <v>2878</v>
      </c>
      <c r="E866" s="2" t="s">
        <v>157</v>
      </c>
      <c r="F866" s="2" t="s">
        <v>716</v>
      </c>
      <c r="G866" s="2" t="s">
        <v>716</v>
      </c>
      <c r="H866" s="2" t="s">
        <v>716</v>
      </c>
      <c r="I866" s="2" t="s">
        <v>30</v>
      </c>
      <c r="J866" s="2" t="s">
        <v>2879</v>
      </c>
      <c r="K866" s="2" t="str">
        <f>"19"</f>
        <v>19</v>
      </c>
      <c r="L866" s="2" t="str">
        <f>""</f>
        <v/>
      </c>
      <c r="M866" s="2" t="str">
        <f>"62-800"</f>
        <v>62-800</v>
      </c>
      <c r="N866" s="2" t="str">
        <f>"625010119"</f>
        <v>625010119</v>
      </c>
      <c r="O866" s="2" t="s">
        <v>2880</v>
      </c>
      <c r="P866" s="2" t="s">
        <v>121</v>
      </c>
    </row>
    <row r="867" spans="1:16" x14ac:dyDescent="0.25">
      <c r="A867" s="2">
        <v>21128</v>
      </c>
      <c r="B867" s="2" t="str">
        <f>"001050744"</f>
        <v>001050744</v>
      </c>
      <c r="C867" s="2" t="s">
        <v>16</v>
      </c>
      <c r="D867" s="2" t="s">
        <v>2881</v>
      </c>
      <c r="E867" s="2" t="s">
        <v>27</v>
      </c>
      <c r="F867" s="2" t="s">
        <v>123</v>
      </c>
      <c r="G867" s="2" t="s">
        <v>281</v>
      </c>
      <c r="H867" s="2" t="s">
        <v>281</v>
      </c>
      <c r="I867" s="2" t="s">
        <v>42</v>
      </c>
      <c r="J867" s="2" t="s">
        <v>2882</v>
      </c>
      <c r="K867" s="2" t="str">
        <f>"1"</f>
        <v>1</v>
      </c>
      <c r="L867" s="2" t="str">
        <f>""</f>
        <v/>
      </c>
      <c r="M867" s="2" t="str">
        <f>"31-067"</f>
        <v>31-067</v>
      </c>
      <c r="N867" s="2" t="str">
        <f>"124305052"</f>
        <v>124305052</v>
      </c>
      <c r="O867" s="2" t="s">
        <v>2883</v>
      </c>
      <c r="P867" s="2" t="s">
        <v>121</v>
      </c>
    </row>
    <row r="868" spans="1:16" x14ac:dyDescent="0.25">
      <c r="A868" s="2">
        <v>3735</v>
      </c>
      <c r="B868" s="2" t="str">
        <f>"000708868"</f>
        <v>000708868</v>
      </c>
      <c r="C868" s="2" t="s">
        <v>16</v>
      </c>
      <c r="D868" s="2" t="s">
        <v>2884</v>
      </c>
      <c r="E868" s="2" t="s">
        <v>64</v>
      </c>
      <c r="F868" s="2" t="s">
        <v>1185</v>
      </c>
      <c r="G868" s="2" t="s">
        <v>1185</v>
      </c>
      <c r="H868" s="2" t="s">
        <v>1185</v>
      </c>
      <c r="I868" s="2" t="s">
        <v>30</v>
      </c>
      <c r="J868" s="2" t="s">
        <v>544</v>
      </c>
      <c r="K868" s="2" t="str">
        <f>"13"</f>
        <v>13</v>
      </c>
      <c r="L868" s="2" t="str">
        <f>""</f>
        <v/>
      </c>
      <c r="M868" s="2" t="str">
        <f>"59-220"</f>
        <v>59-220</v>
      </c>
      <c r="N868" s="2" t="str">
        <f>"767233102"</f>
        <v>767233102</v>
      </c>
      <c r="O868" s="2" t="s">
        <v>2885</v>
      </c>
      <c r="P868" s="2" t="s">
        <v>121</v>
      </c>
    </row>
    <row r="869" spans="1:16" x14ac:dyDescent="0.25">
      <c r="A869" s="2">
        <v>58363</v>
      </c>
      <c r="B869" s="2" t="str">
        <f>"001079707"</f>
        <v>001079707</v>
      </c>
      <c r="C869" s="2" t="s">
        <v>16</v>
      </c>
      <c r="D869" s="2" t="s">
        <v>2886</v>
      </c>
      <c r="E869" s="2" t="s">
        <v>112</v>
      </c>
      <c r="F869" s="2" t="s">
        <v>113</v>
      </c>
      <c r="G869" s="2" t="s">
        <v>113</v>
      </c>
      <c r="H869" s="2" t="s">
        <v>113</v>
      </c>
      <c r="I869" s="2" t="s">
        <v>30</v>
      </c>
      <c r="J869" s="2" t="s">
        <v>1300</v>
      </c>
      <c r="K869" s="2" t="str">
        <f>"54"</f>
        <v>54</v>
      </c>
      <c r="L869" s="2" t="str">
        <f>""</f>
        <v/>
      </c>
      <c r="M869" s="2" t="str">
        <f>"20-109"</f>
        <v>20-109</v>
      </c>
      <c r="N869" s="2" t="str">
        <f>"814664932"</f>
        <v>814664932</v>
      </c>
      <c r="O869" s="2" t="s">
        <v>2887</v>
      </c>
      <c r="P869" s="2" t="s">
        <v>121</v>
      </c>
    </row>
    <row r="870" spans="1:16" x14ac:dyDescent="0.25">
      <c r="A870" s="2">
        <v>13757</v>
      </c>
      <c r="B870" s="2" t="str">
        <f>"000683275"</f>
        <v>000683275</v>
      </c>
      <c r="C870" s="2" t="s">
        <v>16</v>
      </c>
      <c r="D870" s="2" t="s">
        <v>2888</v>
      </c>
      <c r="E870" s="2" t="s">
        <v>389</v>
      </c>
      <c r="F870" s="2" t="s">
        <v>447</v>
      </c>
      <c r="G870" s="2" t="s">
        <v>447</v>
      </c>
      <c r="H870" s="2" t="s">
        <v>447</v>
      </c>
      <c r="I870" s="2" t="s">
        <v>30</v>
      </c>
      <c r="J870" s="2" t="s">
        <v>2889</v>
      </c>
      <c r="K870" s="2" t="str">
        <f>"3"</f>
        <v>3</v>
      </c>
      <c r="L870" s="2" t="str">
        <f>""</f>
        <v/>
      </c>
      <c r="M870" s="2" t="str">
        <f>"10-685"</f>
        <v>10-685</v>
      </c>
      <c r="N870" s="2" t="str">
        <f>"895272003"</f>
        <v>895272003</v>
      </c>
      <c r="O870" s="2" t="s">
        <v>2890</v>
      </c>
      <c r="P870" s="2" t="s">
        <v>121</v>
      </c>
    </row>
    <row r="871" spans="1:16" x14ac:dyDescent="0.25">
      <c r="A871" s="2">
        <v>10440</v>
      </c>
      <c r="B871" s="2" t="str">
        <f>"000195245"</f>
        <v>000195245</v>
      </c>
      <c r="C871" s="2" t="s">
        <v>16</v>
      </c>
      <c r="D871" s="2" t="s">
        <v>2891</v>
      </c>
      <c r="E871" s="2" t="s">
        <v>101</v>
      </c>
      <c r="F871" s="2" t="s">
        <v>102</v>
      </c>
      <c r="G871" s="2" t="s">
        <v>102</v>
      </c>
      <c r="H871" s="2" t="s">
        <v>102</v>
      </c>
      <c r="I871" s="2" t="s">
        <v>30</v>
      </c>
      <c r="J871" s="2" t="s">
        <v>2892</v>
      </c>
      <c r="K871" s="2" t="str">
        <f>"9"</f>
        <v>9</v>
      </c>
      <c r="L871" s="2" t="str">
        <f>""</f>
        <v/>
      </c>
      <c r="M871" s="2" t="str">
        <f>"35-005"</f>
        <v>35-005</v>
      </c>
      <c r="N871" s="2" t="str">
        <f>"178528130"</f>
        <v>178528130</v>
      </c>
      <c r="O871" s="2" t="s">
        <v>2893</v>
      </c>
      <c r="P871" s="2" t="s">
        <v>121</v>
      </c>
    </row>
    <row r="872" spans="1:16" x14ac:dyDescent="0.25">
      <c r="A872" s="2">
        <v>20763</v>
      </c>
      <c r="B872" s="2" t="str">
        <f>"000817706"</f>
        <v>000817706</v>
      </c>
      <c r="C872" s="2" t="s">
        <v>16</v>
      </c>
      <c r="D872" s="2" t="s">
        <v>2894</v>
      </c>
      <c r="E872" s="2" t="s">
        <v>117</v>
      </c>
      <c r="F872" s="2" t="s">
        <v>921</v>
      </c>
      <c r="G872" s="2" t="s">
        <v>921</v>
      </c>
      <c r="H872" s="2" t="s">
        <v>921</v>
      </c>
      <c r="I872" s="2" t="s">
        <v>30</v>
      </c>
      <c r="J872" s="2" t="s">
        <v>396</v>
      </c>
      <c r="K872" s="2" t="str">
        <f>"114"</f>
        <v>114</v>
      </c>
      <c r="L872" s="2" t="str">
        <f>""</f>
        <v/>
      </c>
      <c r="M872" s="2" t="str">
        <f>"41-209"</f>
        <v>41-209</v>
      </c>
      <c r="N872" s="2" t="str">
        <f>"322661471"</f>
        <v>322661471</v>
      </c>
      <c r="O872" s="2" t="s">
        <v>2895</v>
      </c>
      <c r="P872" s="2" t="s">
        <v>121</v>
      </c>
    </row>
    <row r="873" spans="1:16" x14ac:dyDescent="0.25">
      <c r="A873" s="2">
        <v>3812</v>
      </c>
      <c r="B873" s="2" t="str">
        <f>"000707857"</f>
        <v>000707857</v>
      </c>
      <c r="C873" s="2" t="s">
        <v>16</v>
      </c>
      <c r="D873" s="2" t="s">
        <v>2896</v>
      </c>
      <c r="E873" s="2" t="s">
        <v>112</v>
      </c>
      <c r="F873" s="2" t="s">
        <v>1811</v>
      </c>
      <c r="G873" s="2" t="s">
        <v>1811</v>
      </c>
      <c r="H873" s="2" t="s">
        <v>1811</v>
      </c>
      <c r="I873" s="2" t="s">
        <v>30</v>
      </c>
      <c r="J873" s="2" t="s">
        <v>360</v>
      </c>
      <c r="K873" s="2" t="str">
        <f>"24"</f>
        <v>24</v>
      </c>
      <c r="L873" s="2" t="str">
        <f>""</f>
        <v/>
      </c>
      <c r="M873" s="2" t="str">
        <f>"22-400"</f>
        <v>22-400</v>
      </c>
      <c r="N873" s="2" t="str">
        <f>"846395699"</f>
        <v>846395699</v>
      </c>
      <c r="O873" s="2" t="s">
        <v>2897</v>
      </c>
      <c r="P873" s="2" t="s">
        <v>121</v>
      </c>
    </row>
    <row r="874" spans="1:16" x14ac:dyDescent="0.25">
      <c r="A874" s="2">
        <v>23512</v>
      </c>
      <c r="B874" s="2" t="str">
        <f>"000838111"</f>
        <v>000838111</v>
      </c>
      <c r="C874" s="2" t="s">
        <v>16</v>
      </c>
      <c r="D874" s="2" t="s">
        <v>2898</v>
      </c>
      <c r="E874" s="2" t="s">
        <v>18</v>
      </c>
      <c r="F874" s="2" t="s">
        <v>19</v>
      </c>
      <c r="G874" s="2" t="s">
        <v>93</v>
      </c>
      <c r="H874" s="2" t="s">
        <v>93</v>
      </c>
      <c r="I874" s="2" t="s">
        <v>21</v>
      </c>
      <c r="J874" s="2" t="s">
        <v>2899</v>
      </c>
      <c r="K874" s="2" t="str">
        <f>"24"</f>
        <v>24</v>
      </c>
      <c r="L874" s="2" t="str">
        <f>""</f>
        <v/>
      </c>
      <c r="M874" s="2" t="str">
        <f>"01-963"</f>
        <v>01-963</v>
      </c>
      <c r="N874" s="2" t="str">
        <f>"228350348"</f>
        <v>228350348</v>
      </c>
      <c r="O874" s="2" t="s">
        <v>2900</v>
      </c>
      <c r="P874" s="2" t="s">
        <v>121</v>
      </c>
    </row>
    <row r="875" spans="1:16" x14ac:dyDescent="0.25">
      <c r="A875" s="2">
        <v>48849</v>
      </c>
      <c r="B875" s="2" t="str">
        <f>"000838200"</f>
        <v>000838200</v>
      </c>
      <c r="C875" s="2" t="s">
        <v>16</v>
      </c>
      <c r="D875" s="2" t="s">
        <v>2901</v>
      </c>
      <c r="E875" s="2" t="s">
        <v>18</v>
      </c>
      <c r="F875" s="2" t="s">
        <v>19</v>
      </c>
      <c r="G875" s="2" t="s">
        <v>1345</v>
      </c>
      <c r="H875" s="2" t="s">
        <v>1345</v>
      </c>
      <c r="I875" s="2" t="s">
        <v>21</v>
      </c>
      <c r="J875" s="2" t="s">
        <v>2902</v>
      </c>
      <c r="K875" s="2" t="str">
        <f>"23"</f>
        <v>23</v>
      </c>
      <c r="L875" s="2" t="str">
        <f>""</f>
        <v/>
      </c>
      <c r="M875" s="2" t="str">
        <f>"03-310"</f>
        <v>03-310</v>
      </c>
      <c r="N875" s="2" t="str">
        <f>"228110522"</f>
        <v>228110522</v>
      </c>
      <c r="O875" s="2" t="s">
        <v>2903</v>
      </c>
      <c r="P875" s="2" t="s">
        <v>121</v>
      </c>
    </row>
    <row r="876" spans="1:16" x14ac:dyDescent="0.25">
      <c r="A876" s="2">
        <v>13072</v>
      </c>
      <c r="B876" s="2" t="str">
        <f>"016119450"</f>
        <v>016119450</v>
      </c>
      <c r="C876" s="2" t="s">
        <v>16</v>
      </c>
      <c r="D876" s="2" t="s">
        <v>2904</v>
      </c>
      <c r="E876" s="2" t="s">
        <v>18</v>
      </c>
      <c r="F876" s="2" t="s">
        <v>19</v>
      </c>
      <c r="G876" s="2" t="s">
        <v>905</v>
      </c>
      <c r="H876" s="2" t="s">
        <v>905</v>
      </c>
      <c r="I876" s="2" t="s">
        <v>21</v>
      </c>
      <c r="J876" s="2" t="s">
        <v>2905</v>
      </c>
      <c r="K876" s="2" t="str">
        <f>"13"</f>
        <v>13</v>
      </c>
      <c r="L876" s="2" t="str">
        <f>""</f>
        <v/>
      </c>
      <c r="M876" s="2" t="str">
        <f>"01-167"</f>
        <v>01-167</v>
      </c>
      <c r="N876" s="2" t="str">
        <f>"226310823"</f>
        <v>226310823</v>
      </c>
      <c r="O876" s="2" t="s">
        <v>2906</v>
      </c>
      <c r="P876" s="2" t="s">
        <v>121</v>
      </c>
    </row>
    <row r="877" spans="1:16" x14ac:dyDescent="0.25">
      <c r="A877" s="2">
        <v>105216</v>
      </c>
      <c r="B877" s="2" t="str">
        <f>"000838252"</f>
        <v>000838252</v>
      </c>
      <c r="C877" s="2" t="s">
        <v>16</v>
      </c>
      <c r="D877" s="2" t="s">
        <v>2907</v>
      </c>
      <c r="E877" s="2" t="s">
        <v>18</v>
      </c>
      <c r="F877" s="2" t="s">
        <v>19</v>
      </c>
      <c r="G877" s="2" t="s">
        <v>89</v>
      </c>
      <c r="H877" s="2" t="s">
        <v>89</v>
      </c>
      <c r="I877" s="2" t="s">
        <v>21</v>
      </c>
      <c r="J877" s="2" t="s">
        <v>1099</v>
      </c>
      <c r="K877" s="2" t="str">
        <f>"42"</f>
        <v>42</v>
      </c>
      <c r="L877" s="2" t="str">
        <f>""</f>
        <v/>
      </c>
      <c r="M877" s="2" t="str">
        <f>"02-495"</f>
        <v>02-495</v>
      </c>
      <c r="N877" s="2" t="str">
        <f>"228867328"</f>
        <v>228867328</v>
      </c>
      <c r="O877" s="2" t="s">
        <v>2908</v>
      </c>
      <c r="P877" s="2" t="s">
        <v>121</v>
      </c>
    </row>
    <row r="878" spans="1:16" x14ac:dyDescent="0.25">
      <c r="A878" s="2">
        <v>24818</v>
      </c>
      <c r="B878" s="2" t="str">
        <f>"000838223"</f>
        <v>000838223</v>
      </c>
      <c r="C878" s="2" t="s">
        <v>16</v>
      </c>
      <c r="D878" s="2" t="s">
        <v>2909</v>
      </c>
      <c r="E878" s="2" t="s">
        <v>18</v>
      </c>
      <c r="F878" s="2" t="s">
        <v>19</v>
      </c>
      <c r="G878" s="2" t="s">
        <v>405</v>
      </c>
      <c r="H878" s="2" t="s">
        <v>405</v>
      </c>
      <c r="I878" s="2" t="s">
        <v>21</v>
      </c>
      <c r="J878" s="2" t="s">
        <v>2910</v>
      </c>
      <c r="K878" s="2" t="str">
        <f>"40"</f>
        <v>40</v>
      </c>
      <c r="L878" s="2" t="str">
        <f>""</f>
        <v/>
      </c>
      <c r="M878" s="2" t="str">
        <f>"04-393"</f>
        <v>04-393</v>
      </c>
      <c r="N878" s="2" t="str">
        <f>"226102132"</f>
        <v>226102132</v>
      </c>
      <c r="O878" s="2" t="s">
        <v>2911</v>
      </c>
      <c r="P878" s="2" t="s">
        <v>121</v>
      </c>
    </row>
    <row r="879" spans="1:16" x14ac:dyDescent="0.25">
      <c r="A879" s="2">
        <v>25777</v>
      </c>
      <c r="B879" s="2" t="str">
        <f>"000838230"</f>
        <v>000838230</v>
      </c>
      <c r="C879" s="2" t="s">
        <v>16</v>
      </c>
      <c r="D879" s="2" t="s">
        <v>2912</v>
      </c>
      <c r="E879" s="2" t="s">
        <v>18</v>
      </c>
      <c r="F879" s="2" t="s">
        <v>19</v>
      </c>
      <c r="G879" s="2" t="s">
        <v>1089</v>
      </c>
      <c r="H879" s="2" t="s">
        <v>1089</v>
      </c>
      <c r="I879" s="2" t="s">
        <v>21</v>
      </c>
      <c r="J879" s="2" t="s">
        <v>2913</v>
      </c>
      <c r="K879" s="2" t="str">
        <f>"1a"</f>
        <v>1a</v>
      </c>
      <c r="L879" s="2" t="str">
        <f>""</f>
        <v/>
      </c>
      <c r="M879" s="2" t="str">
        <f>"04-713"</f>
        <v>04-713</v>
      </c>
      <c r="N879" s="2" t="str">
        <f>"222772000"</f>
        <v>222772000</v>
      </c>
      <c r="O879" s="2" t="s">
        <v>2914</v>
      </c>
      <c r="P879" s="2" t="s">
        <v>121</v>
      </c>
    </row>
    <row r="880" spans="1:16" x14ac:dyDescent="0.25">
      <c r="A880" s="2">
        <v>18729</v>
      </c>
      <c r="B880" s="2" t="str">
        <f>"001070882"</f>
        <v>001070882</v>
      </c>
      <c r="C880" s="2" t="s">
        <v>16</v>
      </c>
      <c r="D880" s="2" t="s">
        <v>2915</v>
      </c>
      <c r="E880" s="2" t="s">
        <v>18</v>
      </c>
      <c r="F880" s="2" t="s">
        <v>19</v>
      </c>
      <c r="G880" s="2" t="s">
        <v>20</v>
      </c>
      <c r="H880" s="2" t="s">
        <v>20</v>
      </c>
      <c r="I880" s="2" t="s">
        <v>21</v>
      </c>
      <c r="J880" s="2" t="s">
        <v>2916</v>
      </c>
      <c r="K880" s="2" t="str">
        <f>"4"</f>
        <v>4</v>
      </c>
      <c r="L880" s="2" t="str">
        <f>""</f>
        <v/>
      </c>
      <c r="M880" s="2" t="str">
        <f>"02-787"</f>
        <v>02-787</v>
      </c>
      <c r="N880" s="2" t="str">
        <f>"222594162"</f>
        <v>222594162</v>
      </c>
      <c r="O880" s="2" t="s">
        <v>2917</v>
      </c>
      <c r="P880" s="2" t="s">
        <v>121</v>
      </c>
    </row>
    <row r="881" spans="1:16" x14ac:dyDescent="0.25">
      <c r="A881" s="2">
        <v>18752</v>
      </c>
      <c r="B881" s="2" t="str">
        <f>"002051131"</f>
        <v>002051131</v>
      </c>
      <c r="C881" s="2" t="s">
        <v>16</v>
      </c>
      <c r="D881" s="2" t="s">
        <v>2918</v>
      </c>
      <c r="E881" s="2" t="s">
        <v>18</v>
      </c>
      <c r="F881" s="2" t="s">
        <v>19</v>
      </c>
      <c r="G881" s="2" t="s">
        <v>20</v>
      </c>
      <c r="H881" s="2" t="s">
        <v>20</v>
      </c>
      <c r="I881" s="2" t="s">
        <v>21</v>
      </c>
      <c r="J881" s="2" t="s">
        <v>2919</v>
      </c>
      <c r="K881" s="2" t="str">
        <f>"3"</f>
        <v>3</v>
      </c>
      <c r="L881" s="2" t="str">
        <f>""</f>
        <v/>
      </c>
      <c r="M881" s="2" t="str">
        <f>"02-793"</f>
        <v>02-793</v>
      </c>
      <c r="N881" s="2" t="str">
        <f>"513905022"</f>
        <v>513905022</v>
      </c>
      <c r="O881" s="2" t="s">
        <v>2920</v>
      </c>
      <c r="P881" s="2" t="s">
        <v>121</v>
      </c>
    </row>
    <row r="882" spans="1:16" x14ac:dyDescent="0.25">
      <c r="A882" s="2">
        <v>20913</v>
      </c>
      <c r="B882" s="2" t="str">
        <f>"932121446"</f>
        <v>932121446</v>
      </c>
      <c r="C882" s="2" t="s">
        <v>16</v>
      </c>
      <c r="D882" s="2" t="s">
        <v>2921</v>
      </c>
      <c r="E882" s="2" t="s">
        <v>64</v>
      </c>
      <c r="F882" s="2" t="s">
        <v>255</v>
      </c>
      <c r="G882" s="2" t="s">
        <v>269</v>
      </c>
      <c r="H882" s="2" t="s">
        <v>269</v>
      </c>
      <c r="I882" s="2" t="s">
        <v>42</v>
      </c>
      <c r="J882" s="2" t="s">
        <v>2922</v>
      </c>
      <c r="K882" s="2" t="str">
        <f>"117"</f>
        <v>117</v>
      </c>
      <c r="L882" s="2" t="str">
        <f>""</f>
        <v/>
      </c>
      <c r="M882" s="2" t="str">
        <f>"50-301"</f>
        <v>50-301</v>
      </c>
      <c r="N882" s="2" t="str">
        <f>"717986829"</f>
        <v>717986829</v>
      </c>
      <c r="O882" s="2" t="s">
        <v>2923</v>
      </c>
      <c r="P882" s="2" t="s">
        <v>121</v>
      </c>
    </row>
    <row r="883" spans="1:16" x14ac:dyDescent="0.25">
      <c r="A883" s="2">
        <v>4919</v>
      </c>
      <c r="B883" s="2" t="str">
        <f>"000703121"</f>
        <v>000703121</v>
      </c>
      <c r="C883" s="2" t="s">
        <v>16</v>
      </c>
      <c r="D883" s="2" t="s">
        <v>2921</v>
      </c>
      <c r="E883" s="2" t="s">
        <v>34</v>
      </c>
      <c r="F883" s="2" t="s">
        <v>35</v>
      </c>
      <c r="G883" s="2" t="s">
        <v>35</v>
      </c>
      <c r="H883" s="2" t="s">
        <v>35</v>
      </c>
      <c r="I883" s="2" t="s">
        <v>30</v>
      </c>
      <c r="J883" s="2" t="s">
        <v>655</v>
      </c>
      <c r="K883" s="2" t="str">
        <f>"4"</f>
        <v>4</v>
      </c>
      <c r="L883" s="2" t="str">
        <f>""</f>
        <v/>
      </c>
      <c r="M883" s="2" t="str">
        <f>"70-773"</f>
        <v>70-773</v>
      </c>
      <c r="N883" s="2" t="str">
        <f>"914614039"</f>
        <v>914614039</v>
      </c>
      <c r="O883" s="2" t="s">
        <v>2924</v>
      </c>
      <c r="P883" s="2" t="s">
        <v>121</v>
      </c>
    </row>
    <row r="884" spans="1:16" x14ac:dyDescent="0.25">
      <c r="A884" s="2">
        <v>27609</v>
      </c>
      <c r="B884" s="2" t="str">
        <f>"470565880"</f>
        <v>470565880</v>
      </c>
      <c r="C884" s="2" t="s">
        <v>16</v>
      </c>
      <c r="D884" s="2" t="s">
        <v>2921</v>
      </c>
      <c r="E884" s="2" t="s">
        <v>39</v>
      </c>
      <c r="F884" s="2" t="s">
        <v>40</v>
      </c>
      <c r="G884" s="2" t="s">
        <v>41</v>
      </c>
      <c r="H884" s="2" t="s">
        <v>41</v>
      </c>
      <c r="I884" s="2" t="s">
        <v>42</v>
      </c>
      <c r="J884" s="2" t="s">
        <v>2925</v>
      </c>
      <c r="K884" s="2" t="str">
        <f>"3"</f>
        <v>3</v>
      </c>
      <c r="L884" s="2" t="str">
        <f>""</f>
        <v/>
      </c>
      <c r="M884" s="2" t="str">
        <f>"91-362"</f>
        <v>91-362</v>
      </c>
      <c r="N884" s="2" t="str">
        <f>"426591581"</f>
        <v>426591581</v>
      </c>
      <c r="O884" s="2" t="s">
        <v>2926</v>
      </c>
      <c r="P884" s="2" t="s">
        <v>121</v>
      </c>
    </row>
    <row r="885" spans="1:16" x14ac:dyDescent="0.25">
      <c r="A885" s="2">
        <v>48675</v>
      </c>
      <c r="B885" s="2" t="str">
        <f>"000250955"</f>
        <v>000250955</v>
      </c>
      <c r="C885" s="2" t="s">
        <v>16</v>
      </c>
      <c r="D885" s="2" t="s">
        <v>2921</v>
      </c>
      <c r="E885" s="2" t="s">
        <v>157</v>
      </c>
      <c r="F885" s="2" t="s">
        <v>158</v>
      </c>
      <c r="G885" s="2" t="s">
        <v>787</v>
      </c>
      <c r="H885" s="2" t="s">
        <v>787</v>
      </c>
      <c r="I885" s="2" t="s">
        <v>42</v>
      </c>
      <c r="J885" s="2" t="s">
        <v>2927</v>
      </c>
      <c r="K885" s="2" t="str">
        <f>"56"</f>
        <v>56</v>
      </c>
      <c r="L885" s="2" t="str">
        <f>""</f>
        <v/>
      </c>
      <c r="M885" s="2" t="str">
        <f>"60-261"</f>
        <v>60-261</v>
      </c>
      <c r="N885" s="2" t="str">
        <f>"618528558"</f>
        <v>618528558</v>
      </c>
      <c r="O885" s="2" t="s">
        <v>2928</v>
      </c>
      <c r="P885" s="2" t="s">
        <v>121</v>
      </c>
    </row>
    <row r="886" spans="1:16" x14ac:dyDescent="0.25">
      <c r="A886" s="2">
        <v>16706</v>
      </c>
      <c r="B886" s="2" t="str">
        <f>"001030167"</f>
        <v>001030167</v>
      </c>
      <c r="C886" s="2" t="s">
        <v>16</v>
      </c>
      <c r="D886" s="2" t="s">
        <v>2921</v>
      </c>
      <c r="E886" s="2" t="s">
        <v>101</v>
      </c>
      <c r="F886" s="2" t="s">
        <v>102</v>
      </c>
      <c r="G886" s="2" t="s">
        <v>102</v>
      </c>
      <c r="H886" s="2" t="s">
        <v>102</v>
      </c>
      <c r="I886" s="2" t="s">
        <v>30</v>
      </c>
      <c r="J886" s="2" t="s">
        <v>1406</v>
      </c>
      <c r="K886" s="2" t="str">
        <f>"3"</f>
        <v>3</v>
      </c>
      <c r="L886" s="2" t="str">
        <f>""</f>
        <v/>
      </c>
      <c r="M886" s="2" t="str">
        <f>"35-326"</f>
        <v>35-326</v>
      </c>
      <c r="N886" s="2" t="str">
        <f>"177483800"</f>
        <v>177483800</v>
      </c>
      <c r="O886" s="2" t="s">
        <v>2929</v>
      </c>
      <c r="P886" s="2" t="s">
        <v>121</v>
      </c>
    </row>
    <row r="887" spans="1:16" x14ac:dyDescent="0.25">
      <c r="A887" s="2">
        <v>13026</v>
      </c>
      <c r="B887" s="2" t="str">
        <f>"016119384"</f>
        <v>016119384</v>
      </c>
      <c r="C887" s="2" t="s">
        <v>16</v>
      </c>
      <c r="D887" s="2" t="s">
        <v>2921</v>
      </c>
      <c r="E887" s="2" t="s">
        <v>18</v>
      </c>
      <c r="F887" s="2" t="s">
        <v>19</v>
      </c>
      <c r="G887" s="2" t="s">
        <v>905</v>
      </c>
      <c r="H887" s="2" t="s">
        <v>905</v>
      </c>
      <c r="I887" s="2" t="s">
        <v>21</v>
      </c>
      <c r="J887" s="2" t="s">
        <v>2930</v>
      </c>
      <c r="K887" s="2" t="str">
        <f>"53"</f>
        <v>53</v>
      </c>
      <c r="L887" s="2" t="str">
        <f>"A"</f>
        <v>A</v>
      </c>
      <c r="M887" s="2" t="str">
        <f>"01-197"</f>
        <v>01-197</v>
      </c>
      <c r="N887" s="2" t="str">
        <f>"228367088"</f>
        <v>228367088</v>
      </c>
      <c r="O887" s="2" t="s">
        <v>2931</v>
      </c>
      <c r="P887" s="2" t="s">
        <v>121</v>
      </c>
    </row>
    <row r="888" spans="1:16" x14ac:dyDescent="0.25">
      <c r="A888" s="2">
        <v>43604</v>
      </c>
      <c r="B888" s="2" t="str">
        <f>"000941688"</f>
        <v>000941688</v>
      </c>
      <c r="C888" s="2" t="s">
        <v>16</v>
      </c>
      <c r="D888" s="2" t="s">
        <v>2921</v>
      </c>
      <c r="E888" s="2" t="s">
        <v>18</v>
      </c>
      <c r="F888" s="2" t="s">
        <v>134</v>
      </c>
      <c r="G888" s="2" t="s">
        <v>134</v>
      </c>
      <c r="H888" s="2" t="s">
        <v>134</v>
      </c>
      <c r="I888" s="2" t="s">
        <v>30</v>
      </c>
      <c r="J888" s="2" t="s">
        <v>2932</v>
      </c>
      <c r="K888" s="2" t="str">
        <f>"10"</f>
        <v>10</v>
      </c>
      <c r="L888" s="2" t="str">
        <f>""</f>
        <v/>
      </c>
      <c r="M888" s="2" t="str">
        <f>"09-402"</f>
        <v>09-402</v>
      </c>
      <c r="N888" s="2" t="str">
        <f>"243649901"</f>
        <v>243649901</v>
      </c>
      <c r="O888" s="2" t="s">
        <v>2933</v>
      </c>
      <c r="P888" s="2" t="s">
        <v>121</v>
      </c>
    </row>
    <row r="889" spans="1:16" x14ac:dyDescent="0.25">
      <c r="A889" s="2">
        <v>9395</v>
      </c>
      <c r="B889" s="2" t="str">
        <f>"000722549"</f>
        <v>000722549</v>
      </c>
      <c r="C889" s="2" t="s">
        <v>16</v>
      </c>
      <c r="D889" s="2" t="s">
        <v>2934</v>
      </c>
      <c r="E889" s="2" t="s">
        <v>117</v>
      </c>
      <c r="F889" s="2" t="s">
        <v>382</v>
      </c>
      <c r="G889" s="2" t="s">
        <v>382</v>
      </c>
      <c r="H889" s="2" t="s">
        <v>382</v>
      </c>
      <c r="I889" s="2" t="s">
        <v>30</v>
      </c>
      <c r="J889" s="2" t="s">
        <v>2935</v>
      </c>
      <c r="K889" s="2" t="str">
        <f>"6a"</f>
        <v>6a</v>
      </c>
      <c r="L889" s="2" t="str">
        <f>""</f>
        <v/>
      </c>
      <c r="M889" s="2" t="str">
        <f>"40-648"</f>
        <v>40-648</v>
      </c>
      <c r="N889" s="2" t="str">
        <f>"322527959"</f>
        <v>322527959</v>
      </c>
      <c r="O889" s="2" t="s">
        <v>2936</v>
      </c>
      <c r="P889" s="2" t="s">
        <v>121</v>
      </c>
    </row>
    <row r="890" spans="1:16" x14ac:dyDescent="0.25">
      <c r="A890" s="2">
        <v>12024</v>
      </c>
      <c r="B890" s="2" t="str">
        <f>"000735492"</f>
        <v>000735492</v>
      </c>
      <c r="C890" s="2" t="s">
        <v>16</v>
      </c>
      <c r="D890" s="2" t="s">
        <v>2937</v>
      </c>
      <c r="E890" s="2" t="s">
        <v>97</v>
      </c>
      <c r="F890" s="2" t="s">
        <v>98</v>
      </c>
      <c r="G890" s="2" t="s">
        <v>98</v>
      </c>
      <c r="H890" s="2" t="s">
        <v>98</v>
      </c>
      <c r="I890" s="2" t="s">
        <v>30</v>
      </c>
      <c r="J890" s="2" t="s">
        <v>413</v>
      </c>
      <c r="K890" s="2" t="str">
        <f>"35"</f>
        <v>35</v>
      </c>
      <c r="L890" s="2" t="str">
        <f>""</f>
        <v/>
      </c>
      <c r="M890" s="2" t="str">
        <f>"15-301"</f>
        <v>15-301</v>
      </c>
      <c r="N890" s="2" t="str">
        <f>"857423434"</f>
        <v>857423434</v>
      </c>
      <c r="O890" s="2" t="s">
        <v>2938</v>
      </c>
      <c r="P890" s="2" t="s">
        <v>121</v>
      </c>
    </row>
    <row r="891" spans="1:16" x14ac:dyDescent="0.25">
      <c r="A891" s="2">
        <v>13827</v>
      </c>
      <c r="B891" s="2" t="str">
        <f>"000648770"</f>
        <v>000648770</v>
      </c>
      <c r="C891" s="2" t="s">
        <v>16</v>
      </c>
      <c r="D891" s="2" t="s">
        <v>2939</v>
      </c>
      <c r="E891" s="2" t="s">
        <v>181</v>
      </c>
      <c r="F891" s="2" t="s">
        <v>437</v>
      </c>
      <c r="G891" s="2" t="s">
        <v>437</v>
      </c>
      <c r="H891" s="2" t="s">
        <v>437</v>
      </c>
      <c r="I891" s="2" t="s">
        <v>30</v>
      </c>
      <c r="J891" s="2" t="s">
        <v>2940</v>
      </c>
      <c r="K891" s="2" t="str">
        <f>"5"</f>
        <v>5</v>
      </c>
      <c r="L891" s="2" t="str">
        <f>""</f>
        <v/>
      </c>
      <c r="M891" s="2" t="str">
        <f>"85-792"</f>
        <v>85-792</v>
      </c>
      <c r="N891" s="2" t="str">
        <f>"523228032"</f>
        <v>523228032</v>
      </c>
      <c r="O891" s="2" t="s">
        <v>2941</v>
      </c>
      <c r="P891" s="2" t="s">
        <v>121</v>
      </c>
    </row>
    <row r="892" spans="1:16" x14ac:dyDescent="0.25">
      <c r="A892" s="2">
        <v>25032</v>
      </c>
      <c r="B892" s="2" t="str">
        <f>"000898998"</f>
        <v>000898998</v>
      </c>
      <c r="C892" s="2" t="s">
        <v>16</v>
      </c>
      <c r="D892" s="2" t="s">
        <v>2942</v>
      </c>
      <c r="E892" s="2" t="s">
        <v>112</v>
      </c>
      <c r="F892" s="2" t="s">
        <v>839</v>
      </c>
      <c r="G892" s="2" t="s">
        <v>839</v>
      </c>
      <c r="H892" s="2" t="s">
        <v>839</v>
      </c>
      <c r="I892" s="2" t="s">
        <v>30</v>
      </c>
      <c r="J892" s="2" t="s">
        <v>2943</v>
      </c>
      <c r="K892" s="2" t="str">
        <f>"8"</f>
        <v>8</v>
      </c>
      <c r="L892" s="2" t="str">
        <f>""</f>
        <v/>
      </c>
      <c r="M892" s="2" t="str">
        <f>"22-100"</f>
        <v>22-100</v>
      </c>
      <c r="N892" s="2" t="str">
        <f>"825657369"</f>
        <v>825657369</v>
      </c>
      <c r="O892" s="2" t="s">
        <v>2944</v>
      </c>
      <c r="P892" s="2" t="s">
        <v>121</v>
      </c>
    </row>
    <row r="893" spans="1:16" x14ac:dyDescent="0.25">
      <c r="A893" s="2">
        <v>21129</v>
      </c>
      <c r="B893" s="2" t="str">
        <f>"000705634"</f>
        <v>000705634</v>
      </c>
      <c r="C893" s="2" t="s">
        <v>16</v>
      </c>
      <c r="D893" s="2" t="s">
        <v>2945</v>
      </c>
      <c r="E893" s="2" t="s">
        <v>27</v>
      </c>
      <c r="F893" s="2" t="s">
        <v>123</v>
      </c>
      <c r="G893" s="2" t="s">
        <v>141</v>
      </c>
      <c r="H893" s="2" t="s">
        <v>141</v>
      </c>
      <c r="I893" s="2" t="s">
        <v>42</v>
      </c>
      <c r="J893" s="2" t="s">
        <v>2946</v>
      </c>
      <c r="K893" s="2" t="str">
        <f>"23d"</f>
        <v>23d</v>
      </c>
      <c r="L893" s="2" t="str">
        <f>""</f>
        <v/>
      </c>
      <c r="M893" s="2" t="str">
        <f>"31-231"</f>
        <v>31-231</v>
      </c>
      <c r="N893" s="2" t="str">
        <f>"124156968"</f>
        <v>124156968</v>
      </c>
      <c r="O893" s="2" t="s">
        <v>2947</v>
      </c>
      <c r="P893" s="2" t="s">
        <v>121</v>
      </c>
    </row>
    <row r="894" spans="1:16" x14ac:dyDescent="0.25">
      <c r="A894" s="2">
        <v>12952</v>
      </c>
      <c r="B894" s="2" t="str">
        <f>"390035507"</f>
        <v>390035507</v>
      </c>
      <c r="C894" s="2" t="s">
        <v>16</v>
      </c>
      <c r="D894" s="2" t="s">
        <v>2948</v>
      </c>
      <c r="E894" s="2" t="s">
        <v>64</v>
      </c>
      <c r="F894" s="2" t="s">
        <v>1185</v>
      </c>
      <c r="G894" s="2" t="s">
        <v>1185</v>
      </c>
      <c r="H894" s="2" t="s">
        <v>1185</v>
      </c>
      <c r="I894" s="2" t="s">
        <v>30</v>
      </c>
      <c r="J894" s="2" t="s">
        <v>2949</v>
      </c>
      <c r="K894" s="2" t="str">
        <f>"8"</f>
        <v>8</v>
      </c>
      <c r="L894" s="2" t="str">
        <f>""</f>
        <v/>
      </c>
      <c r="M894" s="2" t="str">
        <f>"59-220"</f>
        <v>59-220</v>
      </c>
      <c r="N894" s="2" t="str">
        <f>"767233100"</f>
        <v>767233100</v>
      </c>
      <c r="O894" s="2" t="s">
        <v>2885</v>
      </c>
      <c r="P894" s="2" t="s">
        <v>121</v>
      </c>
    </row>
    <row r="895" spans="1:16" x14ac:dyDescent="0.25">
      <c r="A895" s="2">
        <v>40811</v>
      </c>
      <c r="B895" s="2" t="str">
        <f>"001263470"</f>
        <v>001263470</v>
      </c>
      <c r="C895" s="2" t="s">
        <v>16</v>
      </c>
      <c r="D895" s="2" t="s">
        <v>2950</v>
      </c>
      <c r="E895" s="2" t="s">
        <v>112</v>
      </c>
      <c r="F895" s="2" t="s">
        <v>113</v>
      </c>
      <c r="G895" s="2" t="s">
        <v>113</v>
      </c>
      <c r="H895" s="2" t="s">
        <v>113</v>
      </c>
      <c r="I895" s="2" t="s">
        <v>30</v>
      </c>
      <c r="J895" s="2" t="s">
        <v>2187</v>
      </c>
      <c r="K895" s="2" t="str">
        <f>"8"</f>
        <v>8</v>
      </c>
      <c r="L895" s="2" t="str">
        <f>""</f>
        <v/>
      </c>
      <c r="M895" s="2" t="str">
        <f>"20-530"</f>
        <v>20-530</v>
      </c>
      <c r="N895" s="2" t="str">
        <f>"814423001"</f>
        <v>814423001</v>
      </c>
      <c r="O895" s="2" t="s">
        <v>2951</v>
      </c>
      <c r="P895" s="2" t="s">
        <v>121</v>
      </c>
    </row>
    <row r="896" spans="1:16" x14ac:dyDescent="0.25">
      <c r="A896" s="2">
        <v>72940</v>
      </c>
      <c r="B896" s="2" t="str">
        <f>"001282762"</f>
        <v>001282762</v>
      </c>
      <c r="C896" s="2" t="s">
        <v>16</v>
      </c>
      <c r="D896" s="2" t="s">
        <v>2952</v>
      </c>
      <c r="E896" s="2" t="s">
        <v>117</v>
      </c>
      <c r="F896" s="2" t="s">
        <v>921</v>
      </c>
      <c r="G896" s="2" t="s">
        <v>921</v>
      </c>
      <c r="H896" s="2" t="s">
        <v>921</v>
      </c>
      <c r="I896" s="2" t="s">
        <v>30</v>
      </c>
      <c r="J896" s="2" t="s">
        <v>999</v>
      </c>
      <c r="K896" s="2" t="str">
        <f>"17"</f>
        <v>17</v>
      </c>
      <c r="L896" s="2" t="str">
        <f>""</f>
        <v/>
      </c>
      <c r="M896" s="2" t="str">
        <f>"41-219"</f>
        <v>41-219</v>
      </c>
      <c r="N896" s="2" t="str">
        <f>"322633034"</f>
        <v>322633034</v>
      </c>
      <c r="O896" s="2" t="s">
        <v>2953</v>
      </c>
      <c r="P896" s="2" t="s">
        <v>121</v>
      </c>
    </row>
    <row r="897" spans="1:16" x14ac:dyDescent="0.25">
      <c r="A897" s="2">
        <v>16033</v>
      </c>
      <c r="B897" s="2" t="str">
        <f>"012827026"</f>
        <v>012827026</v>
      </c>
      <c r="C897" s="2" t="s">
        <v>16</v>
      </c>
      <c r="D897" s="2" t="s">
        <v>276</v>
      </c>
      <c r="E897" s="2" t="s">
        <v>18</v>
      </c>
      <c r="F897" s="2" t="s">
        <v>19</v>
      </c>
      <c r="G897" s="2" t="s">
        <v>273</v>
      </c>
      <c r="H897" s="2" t="s">
        <v>273</v>
      </c>
      <c r="I897" s="2" t="s">
        <v>21</v>
      </c>
      <c r="J897" s="2" t="s">
        <v>418</v>
      </c>
      <c r="K897" s="2" t="str">
        <f>"17"</f>
        <v>17</v>
      </c>
      <c r="L897" s="2" t="str">
        <f>""</f>
        <v/>
      </c>
      <c r="M897" s="2" t="str">
        <f>"01-381"</f>
        <v>01-381</v>
      </c>
      <c r="N897" s="2" t="str">
        <f>"226661774"</f>
        <v>226661774</v>
      </c>
      <c r="O897" s="2" t="s">
        <v>275</v>
      </c>
      <c r="P897" s="2" t="s">
        <v>121</v>
      </c>
    </row>
    <row r="898" spans="1:16" x14ac:dyDescent="0.25">
      <c r="A898" s="2">
        <v>30954</v>
      </c>
      <c r="B898" s="2" t="str">
        <f>"142604914"</f>
        <v>142604914</v>
      </c>
      <c r="C898" s="2" t="s">
        <v>16</v>
      </c>
      <c r="D898" s="2" t="s">
        <v>2954</v>
      </c>
      <c r="E898" s="2" t="s">
        <v>18</v>
      </c>
      <c r="F898" s="2" t="s">
        <v>19</v>
      </c>
      <c r="G898" s="2" t="s">
        <v>1101</v>
      </c>
      <c r="H898" s="2" t="s">
        <v>1101</v>
      </c>
      <c r="I898" s="2" t="s">
        <v>21</v>
      </c>
      <c r="J898" s="2" t="s">
        <v>2955</v>
      </c>
      <c r="K898" s="2" t="str">
        <f>"31"</f>
        <v>31</v>
      </c>
      <c r="L898" s="2" t="str">
        <f>""</f>
        <v/>
      </c>
      <c r="M898" s="2" t="str">
        <f>"02-272"</f>
        <v>02-272</v>
      </c>
      <c r="N898" s="2" t="str">
        <f>"0228461918"</f>
        <v>0228461918</v>
      </c>
      <c r="O898" s="2" t="s">
        <v>2956</v>
      </c>
      <c r="P898" s="2" t="s">
        <v>121</v>
      </c>
    </row>
    <row r="899" spans="1:16" x14ac:dyDescent="0.25">
      <c r="A899" s="2">
        <v>54009</v>
      </c>
      <c r="B899" s="2" t="str">
        <f>"142541527"</f>
        <v>142541527</v>
      </c>
      <c r="C899" s="2" t="s">
        <v>16</v>
      </c>
      <c r="D899" s="2" t="s">
        <v>2957</v>
      </c>
      <c r="E899" s="2" t="s">
        <v>18</v>
      </c>
      <c r="F899" s="2" t="s">
        <v>19</v>
      </c>
      <c r="G899" s="2" t="s">
        <v>1299</v>
      </c>
      <c r="H899" s="2" t="s">
        <v>1299</v>
      </c>
      <c r="I899" s="2" t="s">
        <v>21</v>
      </c>
      <c r="J899" s="2" t="s">
        <v>2958</v>
      </c>
      <c r="K899" s="2" t="str">
        <f>"8"</f>
        <v>8</v>
      </c>
      <c r="L899" s="2" t="str">
        <f>""</f>
        <v/>
      </c>
      <c r="M899" s="2" t="str">
        <f>"05-075"</f>
        <v>05-075</v>
      </c>
      <c r="N899" s="2" t="str">
        <f>"227600387"</f>
        <v>227600387</v>
      </c>
      <c r="O899" s="2" t="s">
        <v>2959</v>
      </c>
      <c r="P899" s="2" t="s">
        <v>121</v>
      </c>
    </row>
    <row r="900" spans="1:16" x14ac:dyDescent="0.25">
      <c r="A900" s="2">
        <v>9397</v>
      </c>
      <c r="B900" s="2" t="str">
        <f>"000722555"</f>
        <v>000722555</v>
      </c>
      <c r="C900" s="2" t="s">
        <v>16</v>
      </c>
      <c r="D900" s="2" t="s">
        <v>2960</v>
      </c>
      <c r="E900" s="2" t="s">
        <v>117</v>
      </c>
      <c r="F900" s="2" t="s">
        <v>382</v>
      </c>
      <c r="G900" s="2" t="s">
        <v>382</v>
      </c>
      <c r="H900" s="2" t="s">
        <v>382</v>
      </c>
      <c r="I900" s="2" t="s">
        <v>30</v>
      </c>
      <c r="J900" s="2" t="s">
        <v>2961</v>
      </c>
      <c r="K900" s="2" t="str">
        <f>"58"</f>
        <v>58</v>
      </c>
      <c r="L900" s="2" t="str">
        <f>""</f>
        <v/>
      </c>
      <c r="M900" s="2" t="str">
        <f>"40-431"</f>
        <v>40-431</v>
      </c>
      <c r="N900" s="2" t="str">
        <f>"322557051"</f>
        <v>322557051</v>
      </c>
      <c r="O900" s="2" t="s">
        <v>2962</v>
      </c>
      <c r="P900" s="2" t="s">
        <v>121</v>
      </c>
    </row>
    <row r="901" spans="1:16" x14ac:dyDescent="0.25">
      <c r="A901" s="2">
        <v>125466</v>
      </c>
      <c r="B901" s="2" t="str">
        <f>"000717548"</f>
        <v>000717548</v>
      </c>
      <c r="C901" s="2" t="s">
        <v>16</v>
      </c>
      <c r="D901" s="2" t="s">
        <v>2960</v>
      </c>
      <c r="E901" s="2" t="s">
        <v>157</v>
      </c>
      <c r="F901" s="2" t="s">
        <v>158</v>
      </c>
      <c r="G901" s="2" t="s">
        <v>159</v>
      </c>
      <c r="H901" s="2" t="s">
        <v>159</v>
      </c>
      <c r="I901" s="2" t="s">
        <v>42</v>
      </c>
      <c r="J901" s="2" t="s">
        <v>1572</v>
      </c>
      <c r="K901" s="2" t="str">
        <f>"54"</f>
        <v>54</v>
      </c>
      <c r="L901" s="2" t="str">
        <f>"56"</f>
        <v>56</v>
      </c>
      <c r="M901" s="2" t="str">
        <f>"60-521"</f>
        <v>60-521</v>
      </c>
      <c r="N901" s="2" t="str">
        <f>"616397665"</f>
        <v>616397665</v>
      </c>
      <c r="O901" s="2" t="s">
        <v>2820</v>
      </c>
      <c r="P901" s="2" t="s">
        <v>121</v>
      </c>
    </row>
    <row r="902" spans="1:16" x14ac:dyDescent="0.25">
      <c r="A902" s="2">
        <v>27642</v>
      </c>
      <c r="B902" s="2" t="str">
        <f>"000731784"</f>
        <v>000731784</v>
      </c>
      <c r="C902" s="2" t="s">
        <v>16</v>
      </c>
      <c r="D902" s="2" t="s">
        <v>2960</v>
      </c>
      <c r="E902" s="2" t="s">
        <v>39</v>
      </c>
      <c r="F902" s="2" t="s">
        <v>40</v>
      </c>
      <c r="G902" s="2" t="s">
        <v>1252</v>
      </c>
      <c r="H902" s="2" t="s">
        <v>1252</v>
      </c>
      <c r="I902" s="2" t="s">
        <v>42</v>
      </c>
      <c r="J902" s="2" t="s">
        <v>2963</v>
      </c>
      <c r="K902" s="2" t="str">
        <f>"5"</f>
        <v>5</v>
      </c>
      <c r="L902" s="2" t="str">
        <f>""</f>
        <v/>
      </c>
      <c r="M902" s="2" t="str">
        <f>"90-019"</f>
        <v>90-019</v>
      </c>
      <c r="N902" s="2" t="str">
        <f>"426767305"</f>
        <v>426767305</v>
      </c>
      <c r="O902" s="2" t="s">
        <v>2964</v>
      </c>
      <c r="P902" s="2" t="s">
        <v>121</v>
      </c>
    </row>
    <row r="903" spans="1:16" x14ac:dyDescent="0.25">
      <c r="A903" s="2">
        <v>4939</v>
      </c>
      <c r="B903" s="2" t="str">
        <f>"000703138"</f>
        <v>000703138</v>
      </c>
      <c r="C903" s="2" t="s">
        <v>16</v>
      </c>
      <c r="D903" s="2" t="s">
        <v>2960</v>
      </c>
      <c r="E903" s="2" t="s">
        <v>34</v>
      </c>
      <c r="F903" s="2" t="s">
        <v>35</v>
      </c>
      <c r="G903" s="2" t="s">
        <v>35</v>
      </c>
      <c r="H903" s="2" t="s">
        <v>35</v>
      </c>
      <c r="I903" s="2" t="s">
        <v>30</v>
      </c>
      <c r="J903" s="2" t="s">
        <v>2165</v>
      </c>
      <c r="K903" s="2" t="str">
        <f>"86"</f>
        <v>86</v>
      </c>
      <c r="L903" s="2" t="str">
        <f>""</f>
        <v/>
      </c>
      <c r="M903" s="2" t="str">
        <f>"71-635"</f>
        <v>71-635</v>
      </c>
      <c r="N903" s="2" t="str">
        <f>"914227883"</f>
        <v>914227883</v>
      </c>
      <c r="O903" s="2" t="s">
        <v>2965</v>
      </c>
      <c r="P903" s="2" t="s">
        <v>121</v>
      </c>
    </row>
    <row r="904" spans="1:16" x14ac:dyDescent="0.25">
      <c r="A904" s="2">
        <v>19729</v>
      </c>
      <c r="B904" s="2" t="str">
        <f>"016403582"</f>
        <v>016403582</v>
      </c>
      <c r="C904" s="2" t="s">
        <v>16</v>
      </c>
      <c r="D904" s="2" t="s">
        <v>2960</v>
      </c>
      <c r="E904" s="2" t="s">
        <v>18</v>
      </c>
      <c r="F904" s="2" t="s">
        <v>19</v>
      </c>
      <c r="G904" s="2" t="s">
        <v>2966</v>
      </c>
      <c r="H904" s="2" t="s">
        <v>2966</v>
      </c>
      <c r="I904" s="2" t="s">
        <v>21</v>
      </c>
      <c r="J904" s="2" t="s">
        <v>2967</v>
      </c>
      <c r="K904" s="2" t="str">
        <f>"15"</f>
        <v>15</v>
      </c>
      <c r="L904" s="2" t="str">
        <f>""</f>
        <v/>
      </c>
      <c r="M904" s="2" t="str">
        <f>"01-513"</f>
        <v>01-513</v>
      </c>
      <c r="N904" s="2" t="str">
        <f>"222772210"</f>
        <v>222772210</v>
      </c>
      <c r="O904" s="2" t="s">
        <v>2968</v>
      </c>
      <c r="P904" s="2" t="s">
        <v>121</v>
      </c>
    </row>
    <row r="905" spans="1:16" x14ac:dyDescent="0.25">
      <c r="A905" s="2">
        <v>7752</v>
      </c>
      <c r="B905" s="2" t="str">
        <f>"000736770"</f>
        <v>000736770</v>
      </c>
      <c r="C905" s="2" t="s">
        <v>16</v>
      </c>
      <c r="D905" s="2" t="s">
        <v>2969</v>
      </c>
      <c r="E905" s="2" t="s">
        <v>80</v>
      </c>
      <c r="F905" s="2" t="s">
        <v>339</v>
      </c>
      <c r="G905" s="2" t="s">
        <v>339</v>
      </c>
      <c r="H905" s="2" t="s">
        <v>339</v>
      </c>
      <c r="I905" s="2" t="s">
        <v>30</v>
      </c>
      <c r="J905" s="2" t="s">
        <v>2970</v>
      </c>
      <c r="K905" s="2" t="str">
        <f>"21"</f>
        <v>21</v>
      </c>
      <c r="L905" s="2" t="str">
        <f>""</f>
        <v/>
      </c>
      <c r="M905" s="2" t="str">
        <f>"80-858"</f>
        <v>80-858</v>
      </c>
      <c r="N905" s="2" t="str">
        <f>"583010721"</f>
        <v>583010721</v>
      </c>
      <c r="O905" s="2" t="s">
        <v>2971</v>
      </c>
      <c r="P905" s="2" t="s">
        <v>121</v>
      </c>
    </row>
    <row r="906" spans="1:16" x14ac:dyDescent="0.25">
      <c r="A906" s="2">
        <v>21130</v>
      </c>
      <c r="B906" s="2" t="str">
        <f>"000705657"</f>
        <v>000705657</v>
      </c>
      <c r="C906" s="2" t="s">
        <v>16</v>
      </c>
      <c r="D906" s="2" t="s">
        <v>2972</v>
      </c>
      <c r="E906" s="2" t="s">
        <v>27</v>
      </c>
      <c r="F906" s="2" t="s">
        <v>123</v>
      </c>
      <c r="G906" s="2" t="s">
        <v>124</v>
      </c>
      <c r="H906" s="2" t="s">
        <v>124</v>
      </c>
      <c r="I906" s="2" t="s">
        <v>42</v>
      </c>
      <c r="J906" s="2" t="s">
        <v>2973</v>
      </c>
      <c r="K906" s="2" t="str">
        <f>"18"</f>
        <v>18</v>
      </c>
      <c r="L906" s="2" t="str">
        <f>""</f>
        <v/>
      </c>
      <c r="M906" s="2" t="str">
        <f>"30-306"</f>
        <v>30-306</v>
      </c>
      <c r="N906" s="2" t="str">
        <f>"122661950"</f>
        <v>122661950</v>
      </c>
      <c r="O906" s="2" t="s">
        <v>2974</v>
      </c>
      <c r="P906" s="2" t="s">
        <v>121</v>
      </c>
    </row>
    <row r="907" spans="1:16" x14ac:dyDescent="0.25">
      <c r="A907" s="2">
        <v>58365</v>
      </c>
      <c r="B907" s="2" t="str">
        <f>"004201818"</f>
        <v>004201818</v>
      </c>
      <c r="C907" s="2" t="s">
        <v>16</v>
      </c>
      <c r="D907" s="2" t="s">
        <v>2975</v>
      </c>
      <c r="E907" s="2" t="s">
        <v>112</v>
      </c>
      <c r="F907" s="2" t="s">
        <v>113</v>
      </c>
      <c r="G907" s="2" t="s">
        <v>113</v>
      </c>
      <c r="H907" s="2" t="s">
        <v>113</v>
      </c>
      <c r="I907" s="2" t="s">
        <v>30</v>
      </c>
      <c r="J907" s="2" t="s">
        <v>2976</v>
      </c>
      <c r="K907" s="2" t="str">
        <f>"21"</f>
        <v>21</v>
      </c>
      <c r="L907" s="2" t="str">
        <f>""</f>
        <v/>
      </c>
      <c r="M907" s="2" t="str">
        <f>"20-637"</f>
        <v>20-637</v>
      </c>
      <c r="N907" s="2" t="str">
        <f>"815250999"</f>
        <v>815250999</v>
      </c>
      <c r="O907" s="2" t="s">
        <v>2977</v>
      </c>
      <c r="P907" s="2" t="s">
        <v>121</v>
      </c>
    </row>
    <row r="908" spans="1:16" x14ac:dyDescent="0.25">
      <c r="A908" s="2">
        <v>13778</v>
      </c>
      <c r="B908" s="2" t="str">
        <f>"001325678"</f>
        <v>001325678</v>
      </c>
      <c r="C908" s="2" t="s">
        <v>16</v>
      </c>
      <c r="D908" s="2" t="s">
        <v>2978</v>
      </c>
      <c r="E908" s="2" t="s">
        <v>389</v>
      </c>
      <c r="F908" s="2" t="s">
        <v>447</v>
      </c>
      <c r="G908" s="2" t="s">
        <v>447</v>
      </c>
      <c r="H908" s="2" t="s">
        <v>447</v>
      </c>
      <c r="I908" s="2" t="s">
        <v>30</v>
      </c>
      <c r="J908" s="2" t="s">
        <v>2979</v>
      </c>
      <c r="K908" s="2" t="str">
        <f>"45"</f>
        <v>45</v>
      </c>
      <c r="L908" s="2" t="str">
        <f>""</f>
        <v/>
      </c>
      <c r="M908" s="2" t="str">
        <f>"10-512"</f>
        <v>10-512</v>
      </c>
      <c r="N908" s="2" t="str">
        <f>"895272347"</f>
        <v>895272347</v>
      </c>
      <c r="O908" s="2" t="s">
        <v>2980</v>
      </c>
      <c r="P908" s="2" t="s">
        <v>121</v>
      </c>
    </row>
    <row r="909" spans="1:16" x14ac:dyDescent="0.25">
      <c r="A909" s="2">
        <v>24830</v>
      </c>
      <c r="B909" s="2" t="str">
        <f>"000838217"</f>
        <v>000838217</v>
      </c>
      <c r="C909" s="2" t="s">
        <v>16</v>
      </c>
      <c r="D909" s="2" t="s">
        <v>2981</v>
      </c>
      <c r="E909" s="2" t="s">
        <v>18</v>
      </c>
      <c r="F909" s="2" t="s">
        <v>19</v>
      </c>
      <c r="G909" s="2" t="s">
        <v>405</v>
      </c>
      <c r="H909" s="2" t="s">
        <v>405</v>
      </c>
      <c r="I909" s="2" t="s">
        <v>21</v>
      </c>
      <c r="J909" s="2" t="s">
        <v>2982</v>
      </c>
      <c r="K909" s="2" t="str">
        <f>"1/5"</f>
        <v>1/5</v>
      </c>
      <c r="L909" s="2" t="str">
        <f>""</f>
        <v/>
      </c>
      <c r="M909" s="2" t="str">
        <f>"03-806"</f>
        <v>03-806</v>
      </c>
      <c r="N909" s="2" t="str">
        <f>"228102029"</f>
        <v>228102029</v>
      </c>
      <c r="O909" s="2" t="s">
        <v>2983</v>
      </c>
      <c r="P909" s="2" t="s">
        <v>121</v>
      </c>
    </row>
    <row r="910" spans="1:16" x14ac:dyDescent="0.25">
      <c r="A910" s="2">
        <v>3969</v>
      </c>
      <c r="B910" s="2" t="str">
        <f>"000901192"</f>
        <v>000901192</v>
      </c>
      <c r="C910" s="2" t="s">
        <v>16</v>
      </c>
      <c r="D910" s="2" t="s">
        <v>2981</v>
      </c>
      <c r="E910" s="2" t="s">
        <v>34</v>
      </c>
      <c r="F910" s="2" t="s">
        <v>35</v>
      </c>
      <c r="G910" s="2" t="s">
        <v>35</v>
      </c>
      <c r="H910" s="2" t="s">
        <v>35</v>
      </c>
      <c r="I910" s="2" t="s">
        <v>30</v>
      </c>
      <c r="J910" s="2" t="s">
        <v>2984</v>
      </c>
      <c r="K910" s="2" t="str">
        <f>"6"</f>
        <v>6</v>
      </c>
      <c r="L910" s="2" t="str">
        <f>""</f>
        <v/>
      </c>
      <c r="M910" s="2" t="str">
        <f>"71-246"</f>
        <v>71-246</v>
      </c>
      <c r="N910" s="2" t="str">
        <f>"914327116"</f>
        <v>914327116</v>
      </c>
      <c r="O910" s="2" t="s">
        <v>2985</v>
      </c>
      <c r="P910" s="2" t="s">
        <v>121</v>
      </c>
    </row>
    <row r="911" spans="1:16" x14ac:dyDescent="0.25">
      <c r="A911" s="2">
        <v>17954</v>
      </c>
      <c r="B911" s="2" t="str">
        <f>"000732163"</f>
        <v>000732163</v>
      </c>
      <c r="C911" s="2" t="s">
        <v>16</v>
      </c>
      <c r="D911" s="2" t="s">
        <v>2981</v>
      </c>
      <c r="E911" s="2" t="s">
        <v>39</v>
      </c>
      <c r="F911" s="2" t="s">
        <v>40</v>
      </c>
      <c r="G911" s="2" t="s">
        <v>48</v>
      </c>
      <c r="H911" s="2" t="s">
        <v>48</v>
      </c>
      <c r="I911" s="2" t="s">
        <v>42</v>
      </c>
      <c r="J911" s="2" t="s">
        <v>2986</v>
      </c>
      <c r="K911" s="2" t="str">
        <f>"101"</f>
        <v>101</v>
      </c>
      <c r="L911" s="2" t="str">
        <f>""</f>
        <v/>
      </c>
      <c r="M911" s="2" t="str">
        <f>"92-332"</f>
        <v>92-332</v>
      </c>
      <c r="N911" s="2" t="str">
        <f>"426745973"</f>
        <v>426745973</v>
      </c>
      <c r="O911" s="2" t="s">
        <v>2987</v>
      </c>
      <c r="P911" s="2" t="s">
        <v>121</v>
      </c>
    </row>
    <row r="912" spans="1:16" x14ac:dyDescent="0.25">
      <c r="A912" s="2">
        <v>20914</v>
      </c>
      <c r="B912" s="2" t="str">
        <f>"932605144"</f>
        <v>932605144</v>
      </c>
      <c r="C912" s="2" t="s">
        <v>16</v>
      </c>
      <c r="D912" s="2" t="s">
        <v>2981</v>
      </c>
      <c r="E912" s="2" t="s">
        <v>64</v>
      </c>
      <c r="F912" s="2" t="s">
        <v>255</v>
      </c>
      <c r="G912" s="2" t="s">
        <v>356</v>
      </c>
      <c r="H912" s="2" t="s">
        <v>356</v>
      </c>
      <c r="I912" s="2" t="s">
        <v>42</v>
      </c>
      <c r="J912" s="2" t="s">
        <v>820</v>
      </c>
      <c r="K912" s="2" t="str">
        <f>"59"</f>
        <v>59</v>
      </c>
      <c r="L912" s="2" t="str">
        <f>""</f>
        <v/>
      </c>
      <c r="M912" s="2" t="str">
        <f>"53-426"</f>
        <v>53-426</v>
      </c>
      <c r="N912" s="2" t="str">
        <f>"717986830"</f>
        <v>717986830</v>
      </c>
      <c r="O912" s="2" t="s">
        <v>2988</v>
      </c>
      <c r="P912" s="2" t="s">
        <v>121</v>
      </c>
    </row>
    <row r="913" spans="1:16" x14ac:dyDescent="0.25">
      <c r="A913" s="2">
        <v>21245</v>
      </c>
      <c r="B913" s="2" t="str">
        <f>"000705640"</f>
        <v>000705640</v>
      </c>
      <c r="C913" s="2" t="s">
        <v>16</v>
      </c>
      <c r="D913" s="2" t="s">
        <v>282</v>
      </c>
      <c r="E913" s="2" t="s">
        <v>27</v>
      </c>
      <c r="F913" s="2" t="s">
        <v>123</v>
      </c>
      <c r="G913" s="2" t="s">
        <v>278</v>
      </c>
      <c r="H913" s="2" t="s">
        <v>278</v>
      </c>
      <c r="I913" s="2" t="s">
        <v>42</v>
      </c>
      <c r="J913" s="2" t="s">
        <v>2989</v>
      </c>
      <c r="K913" s="2" t="str">
        <f>"18"</f>
        <v>18</v>
      </c>
      <c r="L913" s="2" t="str">
        <f>""</f>
        <v/>
      </c>
      <c r="M913" s="2" t="str">
        <f>"31-814"</f>
        <v>31-814</v>
      </c>
      <c r="N913" s="2" t="str">
        <f>"126441885"</f>
        <v>126441885</v>
      </c>
      <c r="O913" s="2" t="s">
        <v>2990</v>
      </c>
      <c r="P913" s="2" t="s">
        <v>121</v>
      </c>
    </row>
    <row r="914" spans="1:16" x14ac:dyDescent="0.25">
      <c r="A914" s="2">
        <v>47356</v>
      </c>
      <c r="B914" s="2" t="str">
        <f>"631269989"</f>
        <v>631269989</v>
      </c>
      <c r="C914" s="2" t="s">
        <v>16</v>
      </c>
      <c r="D914" s="2" t="s">
        <v>2991</v>
      </c>
      <c r="E914" s="2" t="s">
        <v>157</v>
      </c>
      <c r="F914" s="2" t="s">
        <v>158</v>
      </c>
      <c r="G914" s="2" t="s">
        <v>928</v>
      </c>
      <c r="H914" s="2" t="s">
        <v>928</v>
      </c>
      <c r="I914" s="2" t="s">
        <v>42</v>
      </c>
      <c r="J914" s="2" t="s">
        <v>2992</v>
      </c>
      <c r="K914" s="2" t="str">
        <f>"105"</f>
        <v>105</v>
      </c>
      <c r="L914" s="2" t="str">
        <f>""</f>
        <v/>
      </c>
      <c r="M914" s="2" t="str">
        <f>"60-681"</f>
        <v>60-681</v>
      </c>
      <c r="N914" s="2" t="str">
        <f>"618234431"</f>
        <v>618234431</v>
      </c>
      <c r="O914" s="2" t="s">
        <v>2993</v>
      </c>
      <c r="P914" s="2" t="s">
        <v>121</v>
      </c>
    </row>
    <row r="915" spans="1:16" x14ac:dyDescent="0.25">
      <c r="A915" s="2">
        <v>7751</v>
      </c>
      <c r="B915" s="2" t="str">
        <f>"190013015"</f>
        <v>190013015</v>
      </c>
      <c r="C915" s="2" t="s">
        <v>16</v>
      </c>
      <c r="D915" s="2" t="s">
        <v>2994</v>
      </c>
      <c r="E915" s="2" t="s">
        <v>80</v>
      </c>
      <c r="F915" s="2" t="s">
        <v>339</v>
      </c>
      <c r="G915" s="2" t="s">
        <v>339</v>
      </c>
      <c r="H915" s="2" t="s">
        <v>339</v>
      </c>
      <c r="I915" s="2" t="s">
        <v>30</v>
      </c>
      <c r="J915" s="2" t="s">
        <v>2995</v>
      </c>
      <c r="K915" s="2" t="str">
        <f>"1"</f>
        <v>1</v>
      </c>
      <c r="L915" s="2" t="str">
        <f>""</f>
        <v/>
      </c>
      <c r="M915" s="2" t="str">
        <f>"80-448"</f>
        <v>80-448</v>
      </c>
      <c r="N915" s="2" t="str">
        <f>"585201349"</f>
        <v>585201349</v>
      </c>
      <c r="O915" s="2" t="s">
        <v>2996</v>
      </c>
      <c r="P915" s="2" t="s">
        <v>121</v>
      </c>
    </row>
    <row r="916" spans="1:16" x14ac:dyDescent="0.25">
      <c r="A916" s="2">
        <v>20915</v>
      </c>
      <c r="B916" s="2" t="str">
        <f>"932113990"</f>
        <v>932113990</v>
      </c>
      <c r="C916" s="2" t="s">
        <v>16</v>
      </c>
      <c r="D916" s="2" t="s">
        <v>2997</v>
      </c>
      <c r="E916" s="2" t="s">
        <v>64</v>
      </c>
      <c r="F916" s="2" t="s">
        <v>255</v>
      </c>
      <c r="G916" s="2" t="s">
        <v>634</v>
      </c>
      <c r="H916" s="2" t="s">
        <v>634</v>
      </c>
      <c r="I916" s="2" t="s">
        <v>42</v>
      </c>
      <c r="J916" s="2" t="s">
        <v>2998</v>
      </c>
      <c r="K916" s="2" t="str">
        <f>"28"</f>
        <v>28</v>
      </c>
      <c r="L916" s="2" t="str">
        <f>""</f>
        <v/>
      </c>
      <c r="M916" s="2" t="str">
        <f>"51-171"</f>
        <v>51-171</v>
      </c>
      <c r="N916" s="2" t="str">
        <f>"717986831"</f>
        <v>717986831</v>
      </c>
      <c r="O916" s="2" t="s">
        <v>2999</v>
      </c>
      <c r="P916" s="2" t="s">
        <v>121</v>
      </c>
    </row>
    <row r="917" spans="1:16" x14ac:dyDescent="0.25">
      <c r="A917" s="2">
        <v>18987</v>
      </c>
      <c r="B917" s="2" t="str">
        <f>"000731471"</f>
        <v>000731471</v>
      </c>
      <c r="C917" s="2" t="s">
        <v>16</v>
      </c>
      <c r="D917" s="2" t="s">
        <v>2997</v>
      </c>
      <c r="E917" s="2" t="s">
        <v>39</v>
      </c>
      <c r="F917" s="2" t="s">
        <v>40</v>
      </c>
      <c r="G917" s="2" t="s">
        <v>248</v>
      </c>
      <c r="H917" s="2" t="s">
        <v>248</v>
      </c>
      <c r="I917" s="2" t="s">
        <v>42</v>
      </c>
      <c r="J917" s="2" t="s">
        <v>2979</v>
      </c>
      <c r="K917" s="2" t="str">
        <f>"40"</f>
        <v>40</v>
      </c>
      <c r="L917" s="2" t="str">
        <f>""</f>
        <v/>
      </c>
      <c r="M917" s="2" t="str">
        <f>"90-552"</f>
        <v>90-552</v>
      </c>
      <c r="N917" s="2" t="str">
        <f>"426371608"</f>
        <v>426371608</v>
      </c>
      <c r="O917" s="2" t="s">
        <v>3000</v>
      </c>
      <c r="P917" s="2" t="s">
        <v>121</v>
      </c>
    </row>
    <row r="918" spans="1:16" x14ac:dyDescent="0.25">
      <c r="A918" s="2">
        <v>25137</v>
      </c>
      <c r="B918" s="2" t="str">
        <f>"000838192"</f>
        <v>000838192</v>
      </c>
      <c r="C918" s="2" t="s">
        <v>16</v>
      </c>
      <c r="D918" s="2" t="s">
        <v>2997</v>
      </c>
      <c r="E918" s="2" t="s">
        <v>18</v>
      </c>
      <c r="F918" s="2" t="s">
        <v>19</v>
      </c>
      <c r="G918" s="2" t="s">
        <v>942</v>
      </c>
      <c r="H918" s="2" t="s">
        <v>942</v>
      </c>
      <c r="I918" s="2" t="s">
        <v>21</v>
      </c>
      <c r="J918" s="2" t="s">
        <v>3001</v>
      </c>
      <c r="K918" s="2" t="str">
        <f>"3"</f>
        <v>3</v>
      </c>
      <c r="L918" s="2" t="str">
        <f>""</f>
        <v/>
      </c>
      <c r="M918" s="2" t="str">
        <f>"03-759"</f>
        <v>03-759</v>
      </c>
      <c r="N918" s="2" t="str">
        <f>"226190194"</f>
        <v>226190194</v>
      </c>
      <c r="O918" s="2" t="s">
        <v>3002</v>
      </c>
      <c r="P918" s="2" t="s">
        <v>121</v>
      </c>
    </row>
    <row r="919" spans="1:16" x14ac:dyDescent="0.25">
      <c r="A919" s="2">
        <v>9398</v>
      </c>
      <c r="B919" s="2" t="str">
        <f>"000722779"</f>
        <v>000722779</v>
      </c>
      <c r="C919" s="2" t="s">
        <v>16</v>
      </c>
      <c r="D919" s="2" t="s">
        <v>2997</v>
      </c>
      <c r="E919" s="2" t="s">
        <v>117</v>
      </c>
      <c r="F919" s="2" t="s">
        <v>382</v>
      </c>
      <c r="G919" s="2" t="s">
        <v>382</v>
      </c>
      <c r="H919" s="2" t="s">
        <v>382</v>
      </c>
      <c r="I919" s="2" t="s">
        <v>30</v>
      </c>
      <c r="J919" s="2" t="s">
        <v>3003</v>
      </c>
      <c r="K919" s="2" t="str">
        <f>"17"</f>
        <v>17</v>
      </c>
      <c r="L919" s="2" t="str">
        <f>""</f>
        <v/>
      </c>
      <c r="M919" s="2" t="str">
        <f>"40-126"</f>
        <v>40-126</v>
      </c>
      <c r="N919" s="2" t="str">
        <f>"322035446"</f>
        <v>322035446</v>
      </c>
      <c r="O919" s="2" t="s">
        <v>3004</v>
      </c>
      <c r="P919" s="2" t="s">
        <v>121</v>
      </c>
    </row>
    <row r="920" spans="1:16" x14ac:dyDescent="0.25">
      <c r="A920" s="2">
        <v>48693</v>
      </c>
      <c r="B920" s="2" t="str">
        <f>"000717560"</f>
        <v>000717560</v>
      </c>
      <c r="C920" s="2" t="s">
        <v>16</v>
      </c>
      <c r="D920" s="2" t="s">
        <v>3005</v>
      </c>
      <c r="E920" s="2" t="s">
        <v>157</v>
      </c>
      <c r="F920" s="2" t="s">
        <v>158</v>
      </c>
      <c r="G920" s="2" t="s">
        <v>928</v>
      </c>
      <c r="H920" s="2" t="s">
        <v>928</v>
      </c>
      <c r="I920" s="2" t="s">
        <v>42</v>
      </c>
      <c r="J920" s="2" t="s">
        <v>3006</v>
      </c>
      <c r="K920" s="2" t="str">
        <f>"29"</f>
        <v>29</v>
      </c>
      <c r="L920" s="2" t="str">
        <f>""</f>
        <v/>
      </c>
      <c r="M920" s="2" t="str">
        <f>"61-733"</f>
        <v>61-733</v>
      </c>
      <c r="N920" s="2" t="str">
        <f>"618522062"</f>
        <v>618522062</v>
      </c>
      <c r="O920" s="2" t="s">
        <v>3007</v>
      </c>
      <c r="P920" s="2" t="s">
        <v>121</v>
      </c>
    </row>
    <row r="921" spans="1:16" x14ac:dyDescent="0.25">
      <c r="A921" s="2">
        <v>7143</v>
      </c>
      <c r="B921" s="2" t="str">
        <f>"190013009"</f>
        <v>190013009</v>
      </c>
      <c r="C921" s="2" t="s">
        <v>16</v>
      </c>
      <c r="D921" s="2" t="s">
        <v>3008</v>
      </c>
      <c r="E921" s="2" t="s">
        <v>80</v>
      </c>
      <c r="F921" s="2" t="s">
        <v>339</v>
      </c>
      <c r="G921" s="2" t="s">
        <v>339</v>
      </c>
      <c r="H921" s="2" t="s">
        <v>339</v>
      </c>
      <c r="I921" s="2" t="s">
        <v>30</v>
      </c>
      <c r="J921" s="2" t="s">
        <v>3009</v>
      </c>
      <c r="K921" s="2" t="str">
        <f>"5"</f>
        <v>5</v>
      </c>
      <c r="L921" s="2" t="str">
        <f>""</f>
        <v/>
      </c>
      <c r="M921" s="2" t="str">
        <f>"80-288"</f>
        <v>80-288</v>
      </c>
      <c r="N921" s="2" t="str">
        <f>"583487282"</f>
        <v>583487282</v>
      </c>
      <c r="O921" s="2" t="s">
        <v>3010</v>
      </c>
      <c r="P921" s="2" t="s">
        <v>121</v>
      </c>
    </row>
    <row r="922" spans="1:16" x14ac:dyDescent="0.25">
      <c r="A922" s="2">
        <v>47355</v>
      </c>
      <c r="B922" s="2" t="str">
        <f>"639554100"</f>
        <v>639554100</v>
      </c>
      <c r="C922" s="2" t="s">
        <v>16</v>
      </c>
      <c r="D922" s="2" t="s">
        <v>3011</v>
      </c>
      <c r="E922" s="2" t="s">
        <v>157</v>
      </c>
      <c r="F922" s="2" t="s">
        <v>158</v>
      </c>
      <c r="G922" s="2" t="s">
        <v>790</v>
      </c>
      <c r="H922" s="2" t="s">
        <v>790</v>
      </c>
      <c r="I922" s="2" t="s">
        <v>42</v>
      </c>
      <c r="J922" s="2" t="s">
        <v>2822</v>
      </c>
      <c r="K922" s="2" t="str">
        <f>"296/29"</f>
        <v>296/29</v>
      </c>
      <c r="L922" s="2" t="str">
        <f>""</f>
        <v/>
      </c>
      <c r="M922" s="2" t="str">
        <f>"61-469"</f>
        <v>61-469</v>
      </c>
      <c r="N922" s="2" t="str">
        <f>"616704038"</f>
        <v>616704038</v>
      </c>
      <c r="O922" s="2" t="s">
        <v>3012</v>
      </c>
      <c r="P922" s="2" t="s">
        <v>121</v>
      </c>
    </row>
    <row r="923" spans="1:16" x14ac:dyDescent="0.25">
      <c r="A923" s="2">
        <v>13071</v>
      </c>
      <c r="B923" s="2" t="str">
        <f>"016119421"</f>
        <v>016119421</v>
      </c>
      <c r="C923" s="2" t="s">
        <v>16</v>
      </c>
      <c r="D923" s="2" t="s">
        <v>3011</v>
      </c>
      <c r="E923" s="2" t="s">
        <v>18</v>
      </c>
      <c r="F923" s="2" t="s">
        <v>19</v>
      </c>
      <c r="G923" s="2" t="s">
        <v>905</v>
      </c>
      <c r="H923" s="2" t="s">
        <v>905</v>
      </c>
      <c r="I923" s="2" t="s">
        <v>21</v>
      </c>
      <c r="J923" s="2" t="s">
        <v>2905</v>
      </c>
      <c r="K923" s="2" t="str">
        <f>"13"</f>
        <v>13</v>
      </c>
      <c r="L923" s="2" t="str">
        <f>""</f>
        <v/>
      </c>
      <c r="M923" s="2" t="str">
        <f>"01-167"</f>
        <v>01-167</v>
      </c>
      <c r="N923" s="2" t="str">
        <f>"226310823"</f>
        <v>226310823</v>
      </c>
      <c r="O923" s="2" t="s">
        <v>2906</v>
      </c>
      <c r="P923" s="2" t="s">
        <v>121</v>
      </c>
    </row>
    <row r="924" spans="1:16" x14ac:dyDescent="0.25">
      <c r="A924" s="2">
        <v>27711</v>
      </c>
      <c r="B924" s="2" t="str">
        <f>"000731169"</f>
        <v>000731169</v>
      </c>
      <c r="C924" s="2" t="s">
        <v>16</v>
      </c>
      <c r="D924" s="2" t="s">
        <v>3011</v>
      </c>
      <c r="E924" s="2" t="s">
        <v>39</v>
      </c>
      <c r="F924" s="2" t="s">
        <v>40</v>
      </c>
      <c r="G924" s="2" t="s">
        <v>40</v>
      </c>
      <c r="H924" s="2" t="s">
        <v>40</v>
      </c>
      <c r="I924" s="2" t="s">
        <v>30</v>
      </c>
      <c r="J924" s="2" t="s">
        <v>1700</v>
      </c>
      <c r="K924" s="2" t="str">
        <f>"25"</f>
        <v>25</v>
      </c>
      <c r="L924" s="2" t="str">
        <f>""</f>
        <v/>
      </c>
      <c r="M924" s="2" t="str">
        <f>"93-008"</f>
        <v>93-008</v>
      </c>
      <c r="N924" s="2" t="str">
        <f>"426819282"</f>
        <v>426819282</v>
      </c>
      <c r="O924" s="2" t="s">
        <v>3013</v>
      </c>
      <c r="P924" s="2" t="s">
        <v>121</v>
      </c>
    </row>
    <row r="925" spans="1:16" x14ac:dyDescent="0.25">
      <c r="A925" s="2">
        <v>60303</v>
      </c>
      <c r="B925" s="2" t="str">
        <f>"000838269"</f>
        <v>000838269</v>
      </c>
      <c r="C925" s="2" t="s">
        <v>16</v>
      </c>
      <c r="D925" s="2" t="s">
        <v>3014</v>
      </c>
      <c r="E925" s="2" t="s">
        <v>18</v>
      </c>
      <c r="F925" s="2" t="s">
        <v>19</v>
      </c>
      <c r="G925" s="2" t="s">
        <v>886</v>
      </c>
      <c r="H925" s="2" t="s">
        <v>886</v>
      </c>
      <c r="I925" s="2" t="s">
        <v>21</v>
      </c>
      <c r="J925" s="2" t="s">
        <v>3015</v>
      </c>
      <c r="K925" s="2" t="str">
        <f>"65/71"</f>
        <v>65/71</v>
      </c>
      <c r="L925" s="2" t="str">
        <f>""</f>
        <v/>
      </c>
      <c r="M925" s="2" t="str">
        <f>"02-524"</f>
        <v>02-524</v>
      </c>
      <c r="N925" s="2" t="str">
        <f>"228499998"</f>
        <v>228499998</v>
      </c>
      <c r="O925" s="2" t="s">
        <v>3016</v>
      </c>
      <c r="P925" s="2" t="s">
        <v>121</v>
      </c>
    </row>
    <row r="926" spans="1:16" x14ac:dyDescent="0.25">
      <c r="A926" s="2">
        <v>47361</v>
      </c>
      <c r="B926" s="2" t="str">
        <f>"000717554"</f>
        <v>000717554</v>
      </c>
      <c r="C926" s="2" t="s">
        <v>16</v>
      </c>
      <c r="D926" s="2" t="s">
        <v>3014</v>
      </c>
      <c r="E926" s="2" t="s">
        <v>157</v>
      </c>
      <c r="F926" s="2" t="s">
        <v>158</v>
      </c>
      <c r="G926" s="2" t="s">
        <v>877</v>
      </c>
      <c r="H926" s="2" t="s">
        <v>877</v>
      </c>
      <c r="I926" s="2" t="s">
        <v>42</v>
      </c>
      <c r="J926" s="2" t="s">
        <v>351</v>
      </c>
      <c r="K926" s="2" t="str">
        <f>"42"</f>
        <v>42</v>
      </c>
      <c r="L926" s="2" t="str">
        <f>""</f>
        <v/>
      </c>
      <c r="M926" s="2" t="str">
        <f>"61-359"</f>
        <v>61-359</v>
      </c>
      <c r="N926" s="2" t="str">
        <f>"618721050"</f>
        <v>618721050</v>
      </c>
      <c r="O926" s="2" t="s">
        <v>3017</v>
      </c>
      <c r="P926" s="2" t="s">
        <v>121</v>
      </c>
    </row>
    <row r="927" spans="1:16" x14ac:dyDescent="0.25">
      <c r="A927" s="2">
        <v>7563</v>
      </c>
      <c r="B927" s="2" t="str">
        <f>"000653943"</f>
        <v>000653943</v>
      </c>
      <c r="C927" s="2" t="s">
        <v>16</v>
      </c>
      <c r="D927" s="2" t="s">
        <v>3018</v>
      </c>
      <c r="E927" s="2" t="s">
        <v>80</v>
      </c>
      <c r="F927" s="2" t="s">
        <v>339</v>
      </c>
      <c r="G927" s="2" t="s">
        <v>339</v>
      </c>
      <c r="H927" s="2" t="s">
        <v>339</v>
      </c>
      <c r="I927" s="2" t="s">
        <v>30</v>
      </c>
      <c r="J927" s="2" t="s">
        <v>3019</v>
      </c>
      <c r="K927" s="2" t="str">
        <f>"1b"</f>
        <v>1b</v>
      </c>
      <c r="L927" s="2" t="str">
        <f>""</f>
        <v/>
      </c>
      <c r="M927" s="2" t="str">
        <f>"80-435"</f>
        <v>80-435</v>
      </c>
      <c r="N927" s="2" t="str">
        <f>"583413950"</f>
        <v>583413950</v>
      </c>
      <c r="O927" s="2" t="s">
        <v>3020</v>
      </c>
      <c r="P927" s="2" t="s">
        <v>121</v>
      </c>
    </row>
    <row r="928" spans="1:16" x14ac:dyDescent="0.25">
      <c r="A928" s="2">
        <v>60305</v>
      </c>
      <c r="B928" s="2" t="str">
        <f>"000838275"</f>
        <v>000838275</v>
      </c>
      <c r="C928" s="2" t="s">
        <v>16</v>
      </c>
      <c r="D928" s="2" t="s">
        <v>3021</v>
      </c>
      <c r="E928" s="2" t="s">
        <v>18</v>
      </c>
      <c r="F928" s="2" t="s">
        <v>19</v>
      </c>
      <c r="G928" s="2" t="s">
        <v>886</v>
      </c>
      <c r="H928" s="2" t="s">
        <v>886</v>
      </c>
      <c r="I928" s="2" t="s">
        <v>21</v>
      </c>
      <c r="J928" s="2" t="s">
        <v>3022</v>
      </c>
      <c r="K928" s="2" t="str">
        <f>"6/8"</f>
        <v>6/8</v>
      </c>
      <c r="L928" s="2" t="str">
        <f>""</f>
        <v/>
      </c>
      <c r="M928" s="2" t="str">
        <f>"00-739"</f>
        <v>00-739</v>
      </c>
      <c r="N928" s="2" t="str">
        <f>"228411423"</f>
        <v>228411423</v>
      </c>
      <c r="O928" s="2" t="s">
        <v>3023</v>
      </c>
      <c r="P928" s="2" t="s">
        <v>121</v>
      </c>
    </row>
    <row r="929" spans="1:16" x14ac:dyDescent="0.25">
      <c r="A929" s="2">
        <v>48713</v>
      </c>
      <c r="B929" s="2" t="str">
        <f>"632034656"</f>
        <v>632034656</v>
      </c>
      <c r="C929" s="2" t="s">
        <v>16</v>
      </c>
      <c r="D929" s="2" t="s">
        <v>3021</v>
      </c>
      <c r="E929" s="2" t="s">
        <v>157</v>
      </c>
      <c r="F929" s="2" t="s">
        <v>158</v>
      </c>
      <c r="G929" s="2" t="s">
        <v>877</v>
      </c>
      <c r="H929" s="2" t="s">
        <v>877</v>
      </c>
      <c r="I929" s="2" t="s">
        <v>42</v>
      </c>
      <c r="J929" s="2" t="s">
        <v>3024</v>
      </c>
      <c r="K929" s="2" t="str">
        <f>"56"</f>
        <v>56</v>
      </c>
      <c r="L929" s="2" t="str">
        <f>"D1"</f>
        <v>D1</v>
      </c>
      <c r="M929" s="2" t="str">
        <f>"61-245"</f>
        <v>61-245</v>
      </c>
      <c r="N929" s="2" t="str">
        <f>"616704039"</f>
        <v>616704039</v>
      </c>
      <c r="O929" s="2" t="s">
        <v>3025</v>
      </c>
      <c r="P929" s="2" t="s">
        <v>121</v>
      </c>
    </row>
    <row r="930" spans="1:16" x14ac:dyDescent="0.25">
      <c r="A930" s="2">
        <v>23610</v>
      </c>
      <c r="B930" s="2" t="str">
        <f>"000838246"</f>
        <v>000838246</v>
      </c>
      <c r="C930" s="2" t="s">
        <v>16</v>
      </c>
      <c r="D930" s="2" t="s">
        <v>3026</v>
      </c>
      <c r="E930" s="2" t="s">
        <v>18</v>
      </c>
      <c r="F930" s="2" t="s">
        <v>19</v>
      </c>
      <c r="G930" s="2" t="s">
        <v>155</v>
      </c>
      <c r="H930" s="2" t="s">
        <v>155</v>
      </c>
      <c r="I930" s="2" t="s">
        <v>21</v>
      </c>
      <c r="J930" s="2" t="s">
        <v>3027</v>
      </c>
      <c r="K930" s="2" t="str">
        <f>"13/21"</f>
        <v>13/21</v>
      </c>
      <c r="L930" s="2" t="str">
        <f>""</f>
        <v/>
      </c>
      <c r="M930" s="2" t="str">
        <f>"02-323"</f>
        <v>02-323</v>
      </c>
      <c r="N930" s="2" t="str">
        <f>"228222887"</f>
        <v>228222887</v>
      </c>
      <c r="O930" s="2" t="s">
        <v>3028</v>
      </c>
      <c r="P930" s="2" t="s">
        <v>121</v>
      </c>
    </row>
    <row r="931" spans="1:16" x14ac:dyDescent="0.25">
      <c r="A931" s="2">
        <v>20916</v>
      </c>
      <c r="B931" s="2" t="str">
        <f>"000195268"</f>
        <v>000195268</v>
      </c>
      <c r="C931" s="2" t="s">
        <v>16</v>
      </c>
      <c r="D931" s="2" t="s">
        <v>3026</v>
      </c>
      <c r="E931" s="2" t="s">
        <v>64</v>
      </c>
      <c r="F931" s="2" t="s">
        <v>255</v>
      </c>
      <c r="G931" s="2" t="s">
        <v>256</v>
      </c>
      <c r="H931" s="2" t="s">
        <v>256</v>
      </c>
      <c r="I931" s="2" t="s">
        <v>42</v>
      </c>
      <c r="J931" s="2" t="s">
        <v>3029</v>
      </c>
      <c r="K931" s="2" t="str">
        <f>"102"</f>
        <v>102</v>
      </c>
      <c r="L931" s="2" t="str">
        <f>""</f>
        <v/>
      </c>
      <c r="M931" s="2" t="str">
        <f>"50-427"</f>
        <v>50-427</v>
      </c>
      <c r="N931" s="2" t="str">
        <f>"717986832"</f>
        <v>717986832</v>
      </c>
      <c r="O931" s="2" t="s">
        <v>3030</v>
      </c>
      <c r="P931" s="2" t="s">
        <v>121</v>
      </c>
    </row>
    <row r="932" spans="1:16" hidden="1" x14ac:dyDescent="0.25">
      <c r="A932">
        <v>481945</v>
      </c>
      <c r="B932" t="str">
        <f>"528804474"</f>
        <v>528804474</v>
      </c>
      <c r="C932" t="s">
        <v>16</v>
      </c>
      <c r="D932" t="s">
        <v>3031</v>
      </c>
      <c r="E932" t="s">
        <v>39</v>
      </c>
      <c r="F932" t="s">
        <v>40</v>
      </c>
      <c r="G932" t="s">
        <v>815</v>
      </c>
      <c r="H932" t="s">
        <v>815</v>
      </c>
      <c r="I932" t="s">
        <v>42</v>
      </c>
      <c r="J932" t="s">
        <v>2327</v>
      </c>
      <c r="K932" t="str">
        <f>"276"</f>
        <v>276</v>
      </c>
      <c r="L932" t="str">
        <f>"c"</f>
        <v>c</v>
      </c>
      <c r="M932" t="str">
        <f>"90-361"</f>
        <v>90-361</v>
      </c>
      <c r="N932" t="str">
        <f>"516723637"</f>
        <v>516723637</v>
      </c>
      <c r="O932" t="s">
        <v>3032</v>
      </c>
      <c r="P932" t="s">
        <v>24</v>
      </c>
    </row>
    <row r="933" spans="1:16" hidden="1" x14ac:dyDescent="0.25">
      <c r="A933">
        <v>127317</v>
      </c>
      <c r="B933" t="str">
        <f>"361349622"</f>
        <v>361349622</v>
      </c>
      <c r="C933" t="s">
        <v>16</v>
      </c>
      <c r="D933" t="s">
        <v>3033</v>
      </c>
      <c r="E933" t="s">
        <v>80</v>
      </c>
      <c r="F933" t="s">
        <v>567</v>
      </c>
      <c r="G933" t="s">
        <v>769</v>
      </c>
      <c r="H933" t="s">
        <v>3034</v>
      </c>
      <c r="I933" t="s">
        <v>68</v>
      </c>
      <c r="J933" t="s">
        <v>3035</v>
      </c>
      <c r="K933" t="str">
        <f>"1e"</f>
        <v>1e</v>
      </c>
      <c r="L933" t="str">
        <f>"4"</f>
        <v>4</v>
      </c>
      <c r="M933" t="str">
        <f>"80-297"</f>
        <v>80-297</v>
      </c>
      <c r="N933" t="str">
        <f>"730960690"</f>
        <v>730960690</v>
      </c>
      <c r="O933" t="s">
        <v>3036</v>
      </c>
      <c r="P933" t="s">
        <v>24</v>
      </c>
    </row>
    <row r="934" spans="1:16" hidden="1" x14ac:dyDescent="0.25">
      <c r="A934">
        <v>129517</v>
      </c>
      <c r="B934" t="str">
        <f>"362649444"</f>
        <v>362649444</v>
      </c>
      <c r="C934" t="s">
        <v>16</v>
      </c>
      <c r="D934" t="s">
        <v>3033</v>
      </c>
      <c r="E934" t="s">
        <v>80</v>
      </c>
      <c r="F934" t="s">
        <v>339</v>
      </c>
      <c r="G934" t="s">
        <v>339</v>
      </c>
      <c r="H934" t="s">
        <v>339</v>
      </c>
      <c r="I934" t="s">
        <v>30</v>
      </c>
      <c r="J934" t="s">
        <v>3037</v>
      </c>
      <c r="K934" t="str">
        <f>"71"</f>
        <v>71</v>
      </c>
      <c r="L934" t="str">
        <f>""</f>
        <v/>
      </c>
      <c r="M934" t="str">
        <f>"80-159"</f>
        <v>80-159</v>
      </c>
      <c r="N934" t="str">
        <f>"533287007"</f>
        <v>533287007</v>
      </c>
      <c r="O934" t="s">
        <v>821</v>
      </c>
      <c r="P934" t="s">
        <v>24</v>
      </c>
    </row>
    <row r="935" spans="1:16" hidden="1" x14ac:dyDescent="0.25">
      <c r="A935">
        <v>129974</v>
      </c>
      <c r="B935" t="str">
        <f>"363200367"</f>
        <v>363200367</v>
      </c>
      <c r="C935" t="s">
        <v>16</v>
      </c>
      <c r="D935" t="s">
        <v>3038</v>
      </c>
      <c r="E935" t="s">
        <v>39</v>
      </c>
      <c r="F935" t="s">
        <v>40</v>
      </c>
      <c r="G935" t="s">
        <v>41</v>
      </c>
      <c r="H935" t="s">
        <v>41</v>
      </c>
      <c r="I935" t="s">
        <v>42</v>
      </c>
      <c r="J935" t="s">
        <v>3039</v>
      </c>
      <c r="K935" t="str">
        <f>"64"</f>
        <v>64</v>
      </c>
      <c r="L935" t="str">
        <f>""</f>
        <v/>
      </c>
      <c r="M935" t="str">
        <f>"91-045"</f>
        <v>91-045</v>
      </c>
      <c r="N935" t="str">
        <f>"790432078"</f>
        <v>790432078</v>
      </c>
      <c r="P935" t="s">
        <v>24</v>
      </c>
    </row>
    <row r="936" spans="1:16" hidden="1" x14ac:dyDescent="0.25">
      <c r="A936">
        <v>277272</v>
      </c>
      <c r="B936" t="str">
        <f>"388484885"</f>
        <v>388484885</v>
      </c>
      <c r="C936" t="s">
        <v>16</v>
      </c>
      <c r="D936" t="s">
        <v>3040</v>
      </c>
      <c r="E936" t="s">
        <v>18</v>
      </c>
      <c r="F936" t="s">
        <v>1137</v>
      </c>
      <c r="G936" t="s">
        <v>1495</v>
      </c>
      <c r="H936" t="s">
        <v>3041</v>
      </c>
      <c r="I936" t="s">
        <v>68</v>
      </c>
      <c r="J936" t="s">
        <v>3042</v>
      </c>
      <c r="K936" t="str">
        <f>"4"</f>
        <v>4</v>
      </c>
      <c r="L936" t="str">
        <f>""</f>
        <v/>
      </c>
      <c r="M936" t="str">
        <f>"05-082"</f>
        <v>05-082</v>
      </c>
      <c r="N936" t="str">
        <f>"608355172"</f>
        <v>608355172</v>
      </c>
      <c r="O936" t="s">
        <v>1720</v>
      </c>
      <c r="P936" t="s">
        <v>24</v>
      </c>
    </row>
    <row r="937" spans="1:16" x14ac:dyDescent="0.25">
      <c r="A937" s="2">
        <v>279147</v>
      </c>
      <c r="B937" s="2" t="str">
        <f>"520757781"</f>
        <v>520757781</v>
      </c>
      <c r="C937" s="2" t="s">
        <v>16</v>
      </c>
      <c r="D937" s="2" t="s">
        <v>3043</v>
      </c>
      <c r="E937" s="2" t="s">
        <v>64</v>
      </c>
      <c r="F937" s="2" t="s">
        <v>208</v>
      </c>
      <c r="G937" s="2" t="s">
        <v>209</v>
      </c>
      <c r="H937" s="2" t="s">
        <v>209</v>
      </c>
      <c r="I937" s="2" t="s">
        <v>30</v>
      </c>
      <c r="J937" s="2" t="s">
        <v>1288</v>
      </c>
      <c r="K937" s="2" t="str">
        <f>"35"</f>
        <v>35</v>
      </c>
      <c r="L937" s="2" t="str">
        <f>""</f>
        <v/>
      </c>
      <c r="M937" s="2" t="str">
        <f>"59-300"</f>
        <v>59-300</v>
      </c>
      <c r="N937" s="2" t="str">
        <f>"502397548"</f>
        <v>502397548</v>
      </c>
      <c r="O937" s="2"/>
      <c r="P937" s="2" t="s">
        <v>121</v>
      </c>
    </row>
    <row r="938" spans="1:16" hidden="1" x14ac:dyDescent="0.25">
      <c r="A938">
        <v>481099</v>
      </c>
      <c r="B938" t="str">
        <f>"526484232"</f>
        <v>526484232</v>
      </c>
      <c r="C938" t="s">
        <v>16</v>
      </c>
      <c r="D938" t="s">
        <v>3044</v>
      </c>
      <c r="E938" t="s">
        <v>117</v>
      </c>
      <c r="F938" t="s">
        <v>967</v>
      </c>
      <c r="G938" t="s">
        <v>967</v>
      </c>
      <c r="H938" t="s">
        <v>967</v>
      </c>
      <c r="I938" t="s">
        <v>30</v>
      </c>
      <c r="J938" t="s">
        <v>3045</v>
      </c>
      <c r="K938" t="str">
        <f>"4"</f>
        <v>4</v>
      </c>
      <c r="L938" t="str">
        <f>""</f>
        <v/>
      </c>
      <c r="M938" t="str">
        <f>"41-303"</f>
        <v>41-303</v>
      </c>
      <c r="N938" t="str">
        <f>"573371003"</f>
        <v>573371003</v>
      </c>
      <c r="O938" t="s">
        <v>3046</v>
      </c>
      <c r="P938" t="s">
        <v>24</v>
      </c>
    </row>
    <row r="939" spans="1:16" hidden="1" x14ac:dyDescent="0.25">
      <c r="A939">
        <v>130826</v>
      </c>
      <c r="B939" t="str">
        <f>"364558562"</f>
        <v>364558562</v>
      </c>
      <c r="C939" t="s">
        <v>16</v>
      </c>
      <c r="D939" t="s">
        <v>3047</v>
      </c>
      <c r="E939" t="s">
        <v>27</v>
      </c>
      <c r="F939" t="s">
        <v>187</v>
      </c>
      <c r="G939" t="s">
        <v>187</v>
      </c>
      <c r="H939" t="s">
        <v>187</v>
      </c>
      <c r="I939" t="s">
        <v>30</v>
      </c>
      <c r="J939" t="s">
        <v>937</v>
      </c>
      <c r="K939" t="str">
        <f>"27"</f>
        <v>27</v>
      </c>
      <c r="L939" t="str">
        <f>""</f>
        <v/>
      </c>
      <c r="M939" t="str">
        <f>"33-100"</f>
        <v>33-100</v>
      </c>
      <c r="N939" t="str">
        <f>"146541055"</f>
        <v>146541055</v>
      </c>
      <c r="O939" t="s">
        <v>3048</v>
      </c>
      <c r="P939" t="s">
        <v>24</v>
      </c>
    </row>
    <row r="940" spans="1:16" x14ac:dyDescent="0.25">
      <c r="A940" s="2">
        <v>72405</v>
      </c>
      <c r="B940" s="2" t="str">
        <f>"000199384"</f>
        <v>000199384</v>
      </c>
      <c r="C940" s="2" t="s">
        <v>16</v>
      </c>
      <c r="D940" s="2" t="s">
        <v>3049</v>
      </c>
      <c r="E940" s="2" t="s">
        <v>181</v>
      </c>
      <c r="F940" s="2" t="s">
        <v>305</v>
      </c>
      <c r="G940" s="2" t="s">
        <v>305</v>
      </c>
      <c r="H940" s="2" t="s">
        <v>305</v>
      </c>
      <c r="I940" s="2" t="s">
        <v>30</v>
      </c>
      <c r="J940" s="2" t="s">
        <v>3050</v>
      </c>
      <c r="K940" s="2" t="str">
        <f>"6"</f>
        <v>6</v>
      </c>
      <c r="L940" s="2" t="str">
        <f>""</f>
        <v/>
      </c>
      <c r="M940" s="2" t="str">
        <f>"87-100"</f>
        <v>87-100</v>
      </c>
      <c r="N940" s="2" t="str">
        <f>"566222991"</f>
        <v>566222991</v>
      </c>
      <c r="O940" s="2" t="s">
        <v>3051</v>
      </c>
      <c r="P940" s="2" t="s">
        <v>121</v>
      </c>
    </row>
    <row r="941" spans="1:16" hidden="1" x14ac:dyDescent="0.25">
      <c r="A941">
        <v>129804</v>
      </c>
      <c r="B941" t="str">
        <f>"362919955"</f>
        <v>362919955</v>
      </c>
      <c r="C941" t="s">
        <v>16</v>
      </c>
      <c r="D941" t="s">
        <v>3052</v>
      </c>
      <c r="E941" t="s">
        <v>18</v>
      </c>
      <c r="F941" t="s">
        <v>19</v>
      </c>
      <c r="G941" t="s">
        <v>1089</v>
      </c>
      <c r="H941" t="s">
        <v>1089</v>
      </c>
      <c r="I941" t="s">
        <v>21</v>
      </c>
      <c r="J941" t="s">
        <v>3053</v>
      </c>
      <c r="K941" t="str">
        <f>"80/86"</f>
        <v>80/86</v>
      </c>
      <c r="L941" t="str">
        <f>""</f>
        <v/>
      </c>
      <c r="M941" t="str">
        <f>"04-725"</f>
        <v>04-725</v>
      </c>
      <c r="N941" t="str">
        <f>"228121018"</f>
        <v>228121018</v>
      </c>
      <c r="O941" t="s">
        <v>3054</v>
      </c>
      <c r="P941" t="s">
        <v>24</v>
      </c>
    </row>
    <row r="942" spans="1:16" hidden="1" x14ac:dyDescent="0.25">
      <c r="A942">
        <v>268332</v>
      </c>
      <c r="B942" t="str">
        <f>"381096690"</f>
        <v>381096690</v>
      </c>
      <c r="C942" t="s">
        <v>16</v>
      </c>
      <c r="D942" t="s">
        <v>3055</v>
      </c>
      <c r="E942" t="s">
        <v>18</v>
      </c>
      <c r="F942" t="s">
        <v>19</v>
      </c>
      <c r="G942" t="s">
        <v>20</v>
      </c>
      <c r="H942" t="s">
        <v>20</v>
      </c>
      <c r="I942" t="s">
        <v>21</v>
      </c>
      <c r="J942" t="s">
        <v>3056</v>
      </c>
      <c r="K942" t="str">
        <f>"55"</f>
        <v>55</v>
      </c>
      <c r="L942" t="str">
        <f>""</f>
        <v/>
      </c>
      <c r="M942" t="str">
        <f>"02-796"</f>
        <v>02-796</v>
      </c>
      <c r="N942" t="str">
        <f>"224056375"</f>
        <v>224056375</v>
      </c>
      <c r="P942" t="s">
        <v>24</v>
      </c>
    </row>
    <row r="943" spans="1:16" x14ac:dyDescent="0.25">
      <c r="A943" s="2">
        <v>4393</v>
      </c>
      <c r="B943" s="2" t="str">
        <f>"001190698"</f>
        <v>001190698</v>
      </c>
      <c r="C943" s="2" t="s">
        <v>16</v>
      </c>
      <c r="D943" s="2" t="s">
        <v>3057</v>
      </c>
      <c r="E943" s="2" t="s">
        <v>27</v>
      </c>
      <c r="F943" s="2" t="s">
        <v>1235</v>
      </c>
      <c r="G943" s="2" t="s">
        <v>1236</v>
      </c>
      <c r="H943" s="2" t="s">
        <v>1236</v>
      </c>
      <c r="I943" s="2" t="s">
        <v>30</v>
      </c>
      <c r="J943" s="2" t="s">
        <v>3058</v>
      </c>
      <c r="K943" s="2" t="str">
        <f>"10"</f>
        <v>10</v>
      </c>
      <c r="L943" s="2" t="str">
        <f>""</f>
        <v/>
      </c>
      <c r="M943" s="2" t="str">
        <f>"34-120"</f>
        <v>34-120</v>
      </c>
      <c r="N943" s="2" t="str">
        <f>"338754402"</f>
        <v>338754402</v>
      </c>
      <c r="O943" s="2" t="s">
        <v>3059</v>
      </c>
      <c r="P943" s="2" t="s">
        <v>121</v>
      </c>
    </row>
    <row r="944" spans="1:16" x14ac:dyDescent="0.25">
      <c r="A944" s="2">
        <v>21532</v>
      </c>
      <c r="B944" s="2" t="str">
        <f>"000695769"</f>
        <v>000695769</v>
      </c>
      <c r="C944" s="2" t="s">
        <v>16</v>
      </c>
      <c r="D944" s="2" t="s">
        <v>3060</v>
      </c>
      <c r="E944" s="2" t="s">
        <v>97</v>
      </c>
      <c r="F944" s="2" t="s">
        <v>1545</v>
      </c>
      <c r="G944" s="2" t="s">
        <v>1546</v>
      </c>
      <c r="H944" s="2" t="s">
        <v>1546</v>
      </c>
      <c r="I944" s="2" t="s">
        <v>30</v>
      </c>
      <c r="J944" s="2" t="s">
        <v>3061</v>
      </c>
      <c r="K944" s="2" t="str">
        <f>"52"</f>
        <v>52</v>
      </c>
      <c r="L944" s="2" t="str">
        <f>""</f>
        <v/>
      </c>
      <c r="M944" s="2" t="str">
        <f>"16-300"</f>
        <v>16-300</v>
      </c>
      <c r="N944" s="2" t="str">
        <f>"876433621"</f>
        <v>876433621</v>
      </c>
      <c r="O944" s="2" t="s">
        <v>3062</v>
      </c>
      <c r="P944" s="2" t="s">
        <v>121</v>
      </c>
    </row>
    <row r="945" spans="1:16" x14ac:dyDescent="0.25">
      <c r="A945" s="2">
        <v>72631</v>
      </c>
      <c r="B945" s="2" t="str">
        <f>"001096516"</f>
        <v>001096516</v>
      </c>
      <c r="C945" s="2" t="s">
        <v>16</v>
      </c>
      <c r="D945" s="2" t="s">
        <v>3063</v>
      </c>
      <c r="E945" s="2" t="s">
        <v>34</v>
      </c>
      <c r="F945" s="2" t="s">
        <v>829</v>
      </c>
      <c r="G945" s="2" t="s">
        <v>3064</v>
      </c>
      <c r="H945" s="2" t="s">
        <v>3064</v>
      </c>
      <c r="I945" s="2" t="s">
        <v>30</v>
      </c>
      <c r="J945" s="2" t="s">
        <v>3065</v>
      </c>
      <c r="K945" s="2" t="str">
        <f>"2B"</f>
        <v>2B</v>
      </c>
      <c r="L945" s="2" t="str">
        <f>""</f>
        <v/>
      </c>
      <c r="M945" s="2" t="str">
        <f>"74-320"</f>
        <v>74-320</v>
      </c>
      <c r="N945" s="2" t="str">
        <f>"957462207"</f>
        <v>957462207</v>
      </c>
      <c r="O945" s="2" t="s">
        <v>3066</v>
      </c>
      <c r="P945" s="2" t="s">
        <v>121</v>
      </c>
    </row>
    <row r="946" spans="1:16" x14ac:dyDescent="0.25">
      <c r="A946" s="2">
        <v>8210</v>
      </c>
      <c r="B946" s="2" t="str">
        <f>"001045826"</f>
        <v>001045826</v>
      </c>
      <c r="C946" s="2" t="s">
        <v>16</v>
      </c>
      <c r="D946" s="2" t="s">
        <v>3067</v>
      </c>
      <c r="E946" s="2" t="s">
        <v>39</v>
      </c>
      <c r="F946" s="2" t="s">
        <v>330</v>
      </c>
      <c r="G946" s="2" t="s">
        <v>331</v>
      </c>
      <c r="H946" s="2" t="s">
        <v>331</v>
      </c>
      <c r="I946" s="2" t="s">
        <v>30</v>
      </c>
      <c r="J946" s="2" t="s">
        <v>3068</v>
      </c>
      <c r="K946" s="2" t="str">
        <f>"96"</f>
        <v>96</v>
      </c>
      <c r="L946" s="2" t="str">
        <f>""</f>
        <v/>
      </c>
      <c r="M946" s="2" t="str">
        <f>"97-400"</f>
        <v>97-400</v>
      </c>
      <c r="N946" s="2" t="str">
        <f>"446322874"</f>
        <v>446322874</v>
      </c>
      <c r="O946" s="2" t="s">
        <v>3069</v>
      </c>
      <c r="P946" s="2" t="s">
        <v>121</v>
      </c>
    </row>
    <row r="947" spans="1:16" x14ac:dyDescent="0.25">
      <c r="A947" s="2">
        <v>34687</v>
      </c>
      <c r="B947" s="2" t="str">
        <f>"000744232"</f>
        <v>000744232</v>
      </c>
      <c r="C947" s="2" t="s">
        <v>16</v>
      </c>
      <c r="D947" s="2" t="s">
        <v>3070</v>
      </c>
      <c r="E947" s="2" t="s">
        <v>112</v>
      </c>
      <c r="F947" s="2" t="s">
        <v>1968</v>
      </c>
      <c r="G947" s="2" t="s">
        <v>1968</v>
      </c>
      <c r="H947" s="2" t="s">
        <v>1968</v>
      </c>
      <c r="I947" s="2" t="s">
        <v>30</v>
      </c>
      <c r="J947" s="2" t="s">
        <v>1801</v>
      </c>
      <c r="K947" s="2" t="str">
        <f>"3"</f>
        <v>3</v>
      </c>
      <c r="L947" s="2" t="str">
        <f>""</f>
        <v/>
      </c>
      <c r="M947" s="2" t="str">
        <f>"21-500"</f>
        <v>21-500</v>
      </c>
      <c r="N947" s="2" t="str">
        <f>"833416437"</f>
        <v>833416437</v>
      </c>
      <c r="O947" s="2" t="s">
        <v>3071</v>
      </c>
      <c r="P947" s="2" t="s">
        <v>121</v>
      </c>
    </row>
    <row r="948" spans="1:16" x14ac:dyDescent="0.25">
      <c r="A948" s="2">
        <v>75735</v>
      </c>
      <c r="B948" s="2" t="str">
        <f>"276270263"</f>
        <v>276270263</v>
      </c>
      <c r="C948" s="2" t="s">
        <v>16</v>
      </c>
      <c r="D948" s="2" t="s">
        <v>3072</v>
      </c>
      <c r="E948" s="2" t="s">
        <v>117</v>
      </c>
      <c r="F948" s="2" t="s">
        <v>3073</v>
      </c>
      <c r="G948" s="2" t="s">
        <v>3074</v>
      </c>
      <c r="H948" s="2" t="s">
        <v>3074</v>
      </c>
      <c r="I948" s="2" t="s">
        <v>30</v>
      </c>
      <c r="J948" s="2" t="s">
        <v>3075</v>
      </c>
      <c r="K948" s="2" t="str">
        <f>"130"</f>
        <v>130</v>
      </c>
      <c r="L948" s="2" t="str">
        <f>""</f>
        <v/>
      </c>
      <c r="M948" s="2" t="str">
        <f>"43-155"</f>
        <v>43-155</v>
      </c>
      <c r="N948" s="2" t="str">
        <f>"322163690"</f>
        <v>322163690</v>
      </c>
      <c r="O948" s="2" t="s">
        <v>3076</v>
      </c>
      <c r="P948" s="2" t="s">
        <v>121</v>
      </c>
    </row>
    <row r="949" spans="1:16" x14ac:dyDescent="0.25">
      <c r="A949" s="2">
        <v>17263</v>
      </c>
      <c r="B949" s="2" t="str">
        <f>"000707834"</f>
        <v>000707834</v>
      </c>
      <c r="C949" s="2" t="s">
        <v>16</v>
      </c>
      <c r="D949" s="2" t="s">
        <v>3077</v>
      </c>
      <c r="E949" s="2" t="s">
        <v>112</v>
      </c>
      <c r="F949" s="2" t="s">
        <v>3078</v>
      </c>
      <c r="G949" s="2" t="s">
        <v>3079</v>
      </c>
      <c r="H949" s="2" t="s">
        <v>3079</v>
      </c>
      <c r="I949" s="2" t="s">
        <v>30</v>
      </c>
      <c r="J949" s="2" t="s">
        <v>188</v>
      </c>
      <c r="K949" s="2" t="str">
        <f>"41"</f>
        <v>41</v>
      </c>
      <c r="L949" s="2" t="str">
        <f>"43"</f>
        <v>43</v>
      </c>
      <c r="M949" s="2" t="str">
        <f>"23-400"</f>
        <v>23-400</v>
      </c>
      <c r="N949" s="2" t="str">
        <f>"846861066"</f>
        <v>846861066</v>
      </c>
      <c r="O949" s="2" t="s">
        <v>3080</v>
      </c>
      <c r="P949" s="2" t="s">
        <v>121</v>
      </c>
    </row>
    <row r="950" spans="1:16" x14ac:dyDescent="0.25">
      <c r="A950" s="2">
        <v>113971</v>
      </c>
      <c r="B950" s="2" t="str">
        <f>"146640433"</f>
        <v>146640433</v>
      </c>
      <c r="C950" s="2" t="s">
        <v>16</v>
      </c>
      <c r="D950" s="2" t="s">
        <v>3081</v>
      </c>
      <c r="E950" s="2" t="s">
        <v>18</v>
      </c>
      <c r="F950" s="2" t="s">
        <v>1137</v>
      </c>
      <c r="G950" s="2" t="s">
        <v>1495</v>
      </c>
      <c r="H950" s="2" t="s">
        <v>3082</v>
      </c>
      <c r="I950" s="2" t="s">
        <v>68</v>
      </c>
      <c r="J950" s="2" t="s">
        <v>2979</v>
      </c>
      <c r="K950" s="2" t="str">
        <f>"10"</f>
        <v>10</v>
      </c>
      <c r="L950" s="2" t="str">
        <f>""</f>
        <v/>
      </c>
      <c r="M950" s="2" t="str">
        <f>"05-082"</f>
        <v>05-082</v>
      </c>
      <c r="N950" s="2" t="str">
        <f>"227220570"</f>
        <v>227220570</v>
      </c>
      <c r="O950" s="2" t="s">
        <v>3083</v>
      </c>
      <c r="P950" s="2" t="s">
        <v>121</v>
      </c>
    </row>
    <row r="951" spans="1:16" x14ac:dyDescent="0.25">
      <c r="A951" s="2">
        <v>110486</v>
      </c>
      <c r="B951" s="2" t="str">
        <f>"146558743"</f>
        <v>146558743</v>
      </c>
      <c r="C951" s="2" t="s">
        <v>16</v>
      </c>
      <c r="D951" s="2" t="s">
        <v>3084</v>
      </c>
      <c r="E951" s="2" t="s">
        <v>18</v>
      </c>
      <c r="F951" s="2" t="s">
        <v>1137</v>
      </c>
      <c r="G951" s="2" t="s">
        <v>3085</v>
      </c>
      <c r="H951" s="2" t="s">
        <v>3085</v>
      </c>
      <c r="I951" s="2" t="s">
        <v>30</v>
      </c>
      <c r="J951" s="2" t="s">
        <v>3086</v>
      </c>
      <c r="K951" s="2" t="str">
        <f>"10a"</f>
        <v>10a</v>
      </c>
      <c r="L951" s="2" t="str">
        <f>""</f>
        <v/>
      </c>
      <c r="M951" s="2" t="str">
        <f>"05-870"</f>
        <v>05-870</v>
      </c>
      <c r="N951" s="2" t="str">
        <f>"227254611"</f>
        <v>227254611</v>
      </c>
      <c r="O951" s="2" t="s">
        <v>3087</v>
      </c>
      <c r="P951" s="2" t="s">
        <v>121</v>
      </c>
    </row>
    <row r="952" spans="1:16" x14ac:dyDescent="0.25">
      <c r="A952" s="2">
        <v>38696</v>
      </c>
      <c r="B952" s="2" t="str">
        <f>"230919481"</f>
        <v>230919481</v>
      </c>
      <c r="C952" s="2" t="s">
        <v>16</v>
      </c>
      <c r="D952" s="2" t="s">
        <v>3088</v>
      </c>
      <c r="E952" s="2" t="s">
        <v>64</v>
      </c>
      <c r="F952" s="2" t="s">
        <v>1470</v>
      </c>
      <c r="G952" s="2" t="s">
        <v>3089</v>
      </c>
      <c r="H952" s="2" t="s">
        <v>3089</v>
      </c>
      <c r="I952" s="2" t="s">
        <v>30</v>
      </c>
      <c r="J952" s="2" t="s">
        <v>188</v>
      </c>
      <c r="K952" s="2" t="str">
        <f>"33"</f>
        <v>33</v>
      </c>
      <c r="L952" s="2" t="str">
        <f>""</f>
        <v/>
      </c>
      <c r="M952" s="2" t="str">
        <f>"59-920"</f>
        <v>59-920</v>
      </c>
      <c r="N952" s="2" t="str">
        <f>"757732125"</f>
        <v>757732125</v>
      </c>
      <c r="O952" s="2" t="s">
        <v>3090</v>
      </c>
      <c r="P952" s="2" t="s">
        <v>121</v>
      </c>
    </row>
    <row r="953" spans="1:16" x14ac:dyDescent="0.25">
      <c r="A953" s="2">
        <v>19603</v>
      </c>
      <c r="B953" s="2" t="str">
        <f>"021974177"</f>
        <v>021974177</v>
      </c>
      <c r="C953" s="2" t="s">
        <v>16</v>
      </c>
      <c r="D953" s="2" t="s">
        <v>3091</v>
      </c>
      <c r="E953" s="2" t="s">
        <v>64</v>
      </c>
      <c r="F953" s="2" t="s">
        <v>2123</v>
      </c>
      <c r="G953" s="2" t="s">
        <v>2124</v>
      </c>
      <c r="H953" s="2" t="s">
        <v>2124</v>
      </c>
      <c r="I953" s="2" t="s">
        <v>30</v>
      </c>
      <c r="J953" s="2" t="s">
        <v>3092</v>
      </c>
      <c r="K953" s="2" t="str">
        <f>"11"</f>
        <v>11</v>
      </c>
      <c r="L953" s="2" t="str">
        <f>""</f>
        <v/>
      </c>
      <c r="M953" s="2" t="str">
        <f>"59-700"</f>
        <v>59-700</v>
      </c>
      <c r="N953" s="2" t="str">
        <f>"757220793"</f>
        <v>757220793</v>
      </c>
      <c r="O953" s="2" t="s">
        <v>3093</v>
      </c>
      <c r="P953" s="2" t="s">
        <v>121</v>
      </c>
    </row>
    <row r="954" spans="1:16" x14ac:dyDescent="0.25">
      <c r="A954" s="2">
        <v>8964</v>
      </c>
      <c r="B954" s="2" t="str">
        <f>"001011715"</f>
        <v>001011715</v>
      </c>
      <c r="C954" s="2" t="s">
        <v>16</v>
      </c>
      <c r="D954" s="2" t="s">
        <v>3094</v>
      </c>
      <c r="E954" s="2" t="s">
        <v>389</v>
      </c>
      <c r="F954" s="2" t="s">
        <v>390</v>
      </c>
      <c r="G954" s="2" t="s">
        <v>391</v>
      </c>
      <c r="H954" s="2" t="s">
        <v>391</v>
      </c>
      <c r="I954" s="2" t="s">
        <v>30</v>
      </c>
      <c r="J954" s="2" t="s">
        <v>705</v>
      </c>
      <c r="K954" s="2" t="str">
        <f>"15A"</f>
        <v>15A</v>
      </c>
      <c r="L954" s="2" t="str">
        <f>""</f>
        <v/>
      </c>
      <c r="M954" s="2" t="str">
        <f>"14-500"</f>
        <v>14-500</v>
      </c>
      <c r="N954" s="2" t="str">
        <f>"552432639"</f>
        <v>552432639</v>
      </c>
      <c r="O954" s="2" t="s">
        <v>3095</v>
      </c>
      <c r="P954" s="2" t="s">
        <v>121</v>
      </c>
    </row>
    <row r="955" spans="1:16" x14ac:dyDescent="0.25">
      <c r="A955" s="2">
        <v>3298</v>
      </c>
      <c r="B955" s="2" t="str">
        <f>"000743296"</f>
        <v>000743296</v>
      </c>
      <c r="C955" s="2" t="s">
        <v>16</v>
      </c>
      <c r="D955" s="2" t="s">
        <v>3096</v>
      </c>
      <c r="E955" s="2" t="s">
        <v>416</v>
      </c>
      <c r="F955" s="2" t="s">
        <v>3097</v>
      </c>
      <c r="G955" s="2" t="s">
        <v>3098</v>
      </c>
      <c r="H955" s="2" t="s">
        <v>3098</v>
      </c>
      <c r="I955" s="2" t="s">
        <v>30</v>
      </c>
      <c r="J955" s="2" t="s">
        <v>3099</v>
      </c>
      <c r="K955" s="2" t="str">
        <f>"3c"</f>
        <v>3c</v>
      </c>
      <c r="L955" s="2" t="str">
        <f>""</f>
        <v/>
      </c>
      <c r="M955" s="2" t="str">
        <f>"49-300"</f>
        <v>49-300</v>
      </c>
      <c r="N955" s="2" t="str">
        <f>"774163207"</f>
        <v>774163207</v>
      </c>
      <c r="O955" s="2" t="s">
        <v>3100</v>
      </c>
      <c r="P955" s="2" t="s">
        <v>121</v>
      </c>
    </row>
    <row r="956" spans="1:16" x14ac:dyDescent="0.25">
      <c r="A956" s="2">
        <v>113925</v>
      </c>
      <c r="B956" s="2" t="str">
        <f>"932694142"</f>
        <v>932694142</v>
      </c>
      <c r="C956" s="2" t="s">
        <v>16</v>
      </c>
      <c r="D956" s="2" t="s">
        <v>3101</v>
      </c>
      <c r="E956" s="2" t="s">
        <v>64</v>
      </c>
      <c r="F956" s="2" t="s">
        <v>1925</v>
      </c>
      <c r="G956" s="2" t="s">
        <v>3102</v>
      </c>
      <c r="H956" s="2" t="s">
        <v>3102</v>
      </c>
      <c r="I956" s="2" t="s">
        <v>30</v>
      </c>
      <c r="J956" s="2" t="s">
        <v>238</v>
      </c>
      <c r="K956" s="2" t="str">
        <f>"1 A"</f>
        <v>1 A</v>
      </c>
      <c r="L956" s="2" t="str">
        <f>""</f>
        <v/>
      </c>
      <c r="M956" s="2" t="str">
        <f>"56-120"</f>
        <v>56-120</v>
      </c>
      <c r="N956" s="2" t="str">
        <f>"713199994"</f>
        <v>713199994</v>
      </c>
      <c r="O956" s="2" t="s">
        <v>3103</v>
      </c>
      <c r="P956" s="2" t="s">
        <v>121</v>
      </c>
    </row>
    <row r="957" spans="1:16" x14ac:dyDescent="0.25">
      <c r="A957" s="2">
        <v>70159</v>
      </c>
      <c r="B957" s="2" t="str">
        <f>"001053866"</f>
        <v>001053866</v>
      </c>
      <c r="C957" s="2" t="s">
        <v>16</v>
      </c>
      <c r="D957" s="2" t="s">
        <v>3104</v>
      </c>
      <c r="E957" s="2" t="s">
        <v>27</v>
      </c>
      <c r="F957" s="2" t="s">
        <v>3097</v>
      </c>
      <c r="G957" s="2" t="s">
        <v>3105</v>
      </c>
      <c r="H957" s="2" t="s">
        <v>3105</v>
      </c>
      <c r="I957" s="2" t="s">
        <v>30</v>
      </c>
      <c r="J957" s="2" t="s">
        <v>1283</v>
      </c>
      <c r="K957" s="2" t="str">
        <f>"2b"</f>
        <v>2b</v>
      </c>
      <c r="L957" s="2" t="str">
        <f>""</f>
        <v/>
      </c>
      <c r="M957" s="2" t="str">
        <f>"32-800"</f>
        <v>32-800</v>
      </c>
      <c r="N957" s="2" t="str">
        <f>"146630181"</f>
        <v>146630181</v>
      </c>
      <c r="O957" s="2" t="s">
        <v>3106</v>
      </c>
      <c r="P957" s="2" t="s">
        <v>121</v>
      </c>
    </row>
    <row r="958" spans="1:16" x14ac:dyDescent="0.25">
      <c r="A958" s="2">
        <v>3033</v>
      </c>
      <c r="B958" s="2" t="str">
        <f>"273875681"</f>
        <v>273875681</v>
      </c>
      <c r="C958" s="2" t="s">
        <v>16</v>
      </c>
      <c r="D958" s="2" t="s">
        <v>3107</v>
      </c>
      <c r="E958" s="2" t="s">
        <v>27</v>
      </c>
      <c r="F958" s="2" t="s">
        <v>3108</v>
      </c>
      <c r="G958" s="2" t="s">
        <v>3109</v>
      </c>
      <c r="H958" s="2" t="s">
        <v>3109</v>
      </c>
      <c r="I958" s="2" t="s">
        <v>30</v>
      </c>
      <c r="J958" s="2" t="s">
        <v>3110</v>
      </c>
      <c r="K958" s="2" t="str">
        <f>"7"</f>
        <v>7</v>
      </c>
      <c r="L958" s="2" t="str">
        <f>""</f>
        <v/>
      </c>
      <c r="M958" s="2" t="str">
        <f>"32-620"</f>
        <v>32-620</v>
      </c>
      <c r="N958" s="2" t="str">
        <f>"327374646"</f>
        <v>327374646</v>
      </c>
      <c r="O958" s="2" t="s">
        <v>3111</v>
      </c>
      <c r="P958" s="2" t="s">
        <v>121</v>
      </c>
    </row>
    <row r="959" spans="1:16" x14ac:dyDescent="0.25">
      <c r="A959" s="2">
        <v>26900</v>
      </c>
      <c r="B959" s="2" t="str">
        <f>"000739484"</f>
        <v>000739484</v>
      </c>
      <c r="C959" s="2" t="s">
        <v>16</v>
      </c>
      <c r="D959" s="2" t="s">
        <v>3113</v>
      </c>
      <c r="E959" s="2" t="s">
        <v>39</v>
      </c>
      <c r="F959" s="2" t="s">
        <v>3114</v>
      </c>
      <c r="G959" s="2" t="s">
        <v>3115</v>
      </c>
      <c r="H959" s="2" t="s">
        <v>3115</v>
      </c>
      <c r="I959" s="2" t="s">
        <v>30</v>
      </c>
      <c r="J959" s="2" t="s">
        <v>3116</v>
      </c>
      <c r="K959" s="2" t="str">
        <f>"5"</f>
        <v>5</v>
      </c>
      <c r="L959" s="2" t="str">
        <f>""</f>
        <v/>
      </c>
      <c r="M959" s="2" t="str">
        <f>"95-060"</f>
        <v>95-060</v>
      </c>
      <c r="N959" s="2" t="str">
        <f>"468742176"</f>
        <v>468742176</v>
      </c>
      <c r="O959" s="2" t="s">
        <v>3117</v>
      </c>
      <c r="P959" s="2" t="s">
        <v>121</v>
      </c>
    </row>
    <row r="960" spans="1:16" x14ac:dyDescent="0.25">
      <c r="A960" s="2">
        <v>3185</v>
      </c>
      <c r="B960" s="2" t="str">
        <f>"292400820"</f>
        <v>292400820</v>
      </c>
      <c r="C960" s="2" t="s">
        <v>16</v>
      </c>
      <c r="D960" s="2" t="s">
        <v>3118</v>
      </c>
      <c r="E960" s="2" t="s">
        <v>74</v>
      </c>
      <c r="F960" s="2" t="s">
        <v>1022</v>
      </c>
      <c r="G960" s="2" t="s">
        <v>1023</v>
      </c>
      <c r="H960" s="2" t="s">
        <v>1023</v>
      </c>
      <c r="I960" s="2" t="s">
        <v>30</v>
      </c>
      <c r="J960" s="2" t="s">
        <v>1024</v>
      </c>
      <c r="K960" s="2" t="str">
        <f>"120"</f>
        <v>120</v>
      </c>
      <c r="L960" s="2" t="str">
        <f>""</f>
        <v/>
      </c>
      <c r="M960" s="2" t="str">
        <f>"28-100"</f>
        <v>28-100</v>
      </c>
      <c r="N960" s="2" t="str">
        <f>"412345670"</f>
        <v>412345670</v>
      </c>
      <c r="O960" s="2" t="s">
        <v>3119</v>
      </c>
      <c r="P960" s="2" t="s">
        <v>121</v>
      </c>
    </row>
    <row r="961" spans="1:16" x14ac:dyDescent="0.25">
      <c r="A961" s="2">
        <v>16266</v>
      </c>
      <c r="B961" s="2" t="str">
        <f>"000908490"</f>
        <v>000908490</v>
      </c>
      <c r="C961" s="2" t="s">
        <v>16</v>
      </c>
      <c r="D961" s="2" t="s">
        <v>3120</v>
      </c>
      <c r="E961" s="2" t="s">
        <v>80</v>
      </c>
      <c r="F961" s="2" t="s">
        <v>3121</v>
      </c>
      <c r="G961" s="2" t="s">
        <v>3122</v>
      </c>
      <c r="H961" s="2" t="s">
        <v>3122</v>
      </c>
      <c r="I961" s="2" t="s">
        <v>30</v>
      </c>
      <c r="J961" s="2" t="s">
        <v>1794</v>
      </c>
      <c r="K961" s="2" t="str">
        <f>"59"</f>
        <v>59</v>
      </c>
      <c r="L961" s="2" t="str">
        <f>""</f>
        <v/>
      </c>
      <c r="M961" s="2" t="str">
        <f>"77-100"</f>
        <v>77-100</v>
      </c>
      <c r="N961" s="2" t="str">
        <f>"598222520"</f>
        <v>598222520</v>
      </c>
      <c r="O961" s="2" t="s">
        <v>3123</v>
      </c>
      <c r="P961" s="2" t="s">
        <v>121</v>
      </c>
    </row>
    <row r="962" spans="1:16" x14ac:dyDescent="0.25">
      <c r="A962" s="2">
        <v>12949</v>
      </c>
      <c r="B962" s="2" t="str">
        <f>"001082307"</f>
        <v>001082307</v>
      </c>
      <c r="C962" s="2" t="s">
        <v>16</v>
      </c>
      <c r="D962" s="2" t="s">
        <v>3124</v>
      </c>
      <c r="E962" s="2" t="s">
        <v>181</v>
      </c>
      <c r="F962" s="2" t="s">
        <v>3125</v>
      </c>
      <c r="G962" s="2" t="s">
        <v>3126</v>
      </c>
      <c r="H962" s="2" t="s">
        <v>3126</v>
      </c>
      <c r="I962" s="2" t="s">
        <v>30</v>
      </c>
      <c r="J962" s="2" t="s">
        <v>3127</v>
      </c>
      <c r="K962" s="2" t="str">
        <f>"35"</f>
        <v>35</v>
      </c>
      <c r="L962" s="2" t="str">
        <f>""</f>
        <v/>
      </c>
      <c r="M962" s="2" t="str">
        <f>"86-200"</f>
        <v>86-200</v>
      </c>
      <c r="N962" s="2" t="str">
        <f>"566860052"</f>
        <v>566860052</v>
      </c>
      <c r="O962" s="2" t="s">
        <v>3128</v>
      </c>
      <c r="P962" s="2" t="s">
        <v>121</v>
      </c>
    </row>
    <row r="963" spans="1:16" x14ac:dyDescent="0.25">
      <c r="A963" s="2">
        <v>18718</v>
      </c>
      <c r="B963" s="2" t="str">
        <f>"001069896"</f>
        <v>001069896</v>
      </c>
      <c r="C963" s="2" t="s">
        <v>16</v>
      </c>
      <c r="D963" s="2" t="s">
        <v>306</v>
      </c>
      <c r="E963" s="2" t="s">
        <v>181</v>
      </c>
      <c r="F963" s="2" t="s">
        <v>301</v>
      </c>
      <c r="G963" s="2" t="s">
        <v>3129</v>
      </c>
      <c r="H963" s="2" t="s">
        <v>3129</v>
      </c>
      <c r="I963" s="2" t="s">
        <v>30</v>
      </c>
      <c r="J963" s="2" t="s">
        <v>1084</v>
      </c>
      <c r="K963" s="2" t="str">
        <f>"18"</f>
        <v>18</v>
      </c>
      <c r="L963" s="2" t="str">
        <f>""</f>
        <v/>
      </c>
      <c r="M963" s="2" t="str">
        <f>"87-140"</f>
        <v>87-140</v>
      </c>
      <c r="N963" s="2" t="str">
        <f>"566756727"</f>
        <v>566756727</v>
      </c>
      <c r="O963" s="2" t="s">
        <v>3130</v>
      </c>
      <c r="P963" s="2" t="s">
        <v>121</v>
      </c>
    </row>
    <row r="964" spans="1:16" x14ac:dyDescent="0.25">
      <c r="A964" s="2">
        <v>26035</v>
      </c>
      <c r="B964" s="2" t="str">
        <f>"000896143"</f>
        <v>000896143</v>
      </c>
      <c r="C964" s="2" t="s">
        <v>16</v>
      </c>
      <c r="D964" s="2" t="s">
        <v>3131</v>
      </c>
      <c r="E964" s="2" t="s">
        <v>80</v>
      </c>
      <c r="F964" s="2" t="s">
        <v>3132</v>
      </c>
      <c r="G964" s="2" t="s">
        <v>3133</v>
      </c>
      <c r="H964" s="2" t="s">
        <v>3133</v>
      </c>
      <c r="I964" s="2" t="s">
        <v>30</v>
      </c>
      <c r="J964" s="2" t="s">
        <v>2702</v>
      </c>
      <c r="K964" s="2" t="str">
        <f>"30A"</f>
        <v>30A</v>
      </c>
      <c r="L964" s="2" t="str">
        <f>""</f>
        <v/>
      </c>
      <c r="M964" s="2" t="str">
        <f>"89-600"</f>
        <v>89-600</v>
      </c>
      <c r="N964" s="2" t="str">
        <f>"523344460"</f>
        <v>523344460</v>
      </c>
      <c r="O964" s="2" t="s">
        <v>3134</v>
      </c>
      <c r="P964" s="2" t="s">
        <v>121</v>
      </c>
    </row>
    <row r="965" spans="1:16" x14ac:dyDescent="0.25">
      <c r="A965" s="2">
        <v>4243</v>
      </c>
      <c r="B965" s="2" t="str">
        <f>"000711876"</f>
        <v>000711876</v>
      </c>
      <c r="C965" s="2" t="s">
        <v>16</v>
      </c>
      <c r="D965" s="2" t="s">
        <v>3135</v>
      </c>
      <c r="E965" s="2" t="s">
        <v>34</v>
      </c>
      <c r="F965" s="2" t="s">
        <v>3136</v>
      </c>
      <c r="G965" s="2" t="s">
        <v>3137</v>
      </c>
      <c r="H965" s="2" t="s">
        <v>3137</v>
      </c>
      <c r="I965" s="2" t="s">
        <v>30</v>
      </c>
      <c r="J965" s="2" t="s">
        <v>544</v>
      </c>
      <c r="K965" s="2" t="str">
        <f>"27"</f>
        <v>27</v>
      </c>
      <c r="L965" s="2" t="str">
        <f>""</f>
        <v/>
      </c>
      <c r="M965" s="2" t="str">
        <f>"73-200"</f>
        <v>73-200</v>
      </c>
      <c r="N965" s="2" t="str">
        <f>"0957652205"</f>
        <v>0957652205</v>
      </c>
      <c r="O965" s="2" t="s">
        <v>3138</v>
      </c>
      <c r="P965" s="2" t="s">
        <v>121</v>
      </c>
    </row>
    <row r="966" spans="1:16" x14ac:dyDescent="0.25">
      <c r="A966" s="2">
        <v>79128</v>
      </c>
      <c r="B966" s="2" t="str">
        <f>"000727021"</f>
        <v>000727021</v>
      </c>
      <c r="C966" s="2" t="s">
        <v>16</v>
      </c>
      <c r="D966" s="2" t="s">
        <v>3139</v>
      </c>
      <c r="E966" s="2" t="s">
        <v>27</v>
      </c>
      <c r="F966" s="2" t="s">
        <v>28</v>
      </c>
      <c r="G966" s="2" t="s">
        <v>29</v>
      </c>
      <c r="H966" s="2" t="s">
        <v>29</v>
      </c>
      <c r="I966" s="2" t="s">
        <v>30</v>
      </c>
      <c r="J966" s="2" t="s">
        <v>3140</v>
      </c>
      <c r="K966" s="2" t="str">
        <f>"3"</f>
        <v>3</v>
      </c>
      <c r="L966" s="2" t="str">
        <f>""</f>
        <v/>
      </c>
      <c r="M966" s="2" t="str">
        <f>"32-500"</f>
        <v>32-500</v>
      </c>
      <c r="N966" s="2" t="str">
        <f>"32624-12-70"</f>
        <v>32624-12-70</v>
      </c>
      <c r="O966" s="2" t="s">
        <v>3141</v>
      </c>
      <c r="P966" s="2" t="s">
        <v>121</v>
      </c>
    </row>
    <row r="967" spans="1:16" x14ac:dyDescent="0.25">
      <c r="A967" s="2">
        <v>5121</v>
      </c>
      <c r="B967" s="2" t="str">
        <f>"001005784"</f>
        <v>001005784</v>
      </c>
      <c r="C967" s="2" t="s">
        <v>16</v>
      </c>
      <c r="D967" s="2" t="s">
        <v>3142</v>
      </c>
      <c r="E967" s="2" t="s">
        <v>18</v>
      </c>
      <c r="F967" s="2" t="s">
        <v>2072</v>
      </c>
      <c r="G967" s="2" t="s">
        <v>2073</v>
      </c>
      <c r="H967" s="2" t="s">
        <v>2073</v>
      </c>
      <c r="I967" s="2" t="s">
        <v>30</v>
      </c>
      <c r="J967" s="2" t="s">
        <v>1013</v>
      </c>
      <c r="K967" s="2" t="str">
        <f>"10A"</f>
        <v>10A</v>
      </c>
      <c r="L967" s="2" t="str">
        <f>""</f>
        <v/>
      </c>
      <c r="M967" s="2" t="str">
        <f>"06-400"</f>
        <v>06-400</v>
      </c>
      <c r="N967" s="2" t="str">
        <f>"236722673"</f>
        <v>236722673</v>
      </c>
      <c r="O967" s="2" t="s">
        <v>3143</v>
      </c>
      <c r="P967" s="2" t="s">
        <v>121</v>
      </c>
    </row>
    <row r="968" spans="1:16" x14ac:dyDescent="0.25">
      <c r="A968" s="2">
        <v>55380</v>
      </c>
      <c r="B968" s="2" t="str">
        <f>"001238838"</f>
        <v>001238838</v>
      </c>
      <c r="C968" s="2" t="s">
        <v>16</v>
      </c>
      <c r="D968" s="2" t="s">
        <v>3144</v>
      </c>
      <c r="E968" s="2" t="s">
        <v>157</v>
      </c>
      <c r="F968" s="2" t="s">
        <v>3145</v>
      </c>
      <c r="G968" s="2" t="s">
        <v>3146</v>
      </c>
      <c r="H968" s="2" t="s">
        <v>3146</v>
      </c>
      <c r="I968" s="2" t="s">
        <v>30</v>
      </c>
      <c r="J968" s="2" t="s">
        <v>509</v>
      </c>
      <c r="K968" s="2" t="str">
        <f>"90"</f>
        <v>90</v>
      </c>
      <c r="L968" s="2" t="str">
        <f>""</f>
        <v/>
      </c>
      <c r="M968" s="2" t="str">
        <f>"64-700"</f>
        <v>64-700</v>
      </c>
      <c r="N968" s="2" t="str">
        <f>"672552306"</f>
        <v>672552306</v>
      </c>
      <c r="O968" s="2" t="s">
        <v>3147</v>
      </c>
      <c r="P968" s="2" t="s">
        <v>121</v>
      </c>
    </row>
    <row r="969" spans="1:16" x14ac:dyDescent="0.25">
      <c r="A969" s="2">
        <v>74353</v>
      </c>
      <c r="B969" s="2" t="str">
        <f>"001053872"</f>
        <v>001053872</v>
      </c>
      <c r="C969" s="2" t="s">
        <v>16</v>
      </c>
      <c r="D969" s="2" t="s">
        <v>3148</v>
      </c>
      <c r="E969" s="2" t="s">
        <v>27</v>
      </c>
      <c r="F969" s="2" t="s">
        <v>3149</v>
      </c>
      <c r="G969" s="2" t="s">
        <v>3150</v>
      </c>
      <c r="H969" s="2" t="s">
        <v>3150</v>
      </c>
      <c r="I969" s="2" t="s">
        <v>30</v>
      </c>
      <c r="J969" s="2" t="s">
        <v>3151</v>
      </c>
      <c r="K969" s="2" t="str">
        <f>"1"</f>
        <v>1</v>
      </c>
      <c r="L969" s="2" t="str">
        <f>""</f>
        <v/>
      </c>
      <c r="M969" s="2" t="str">
        <f>"33-200"</f>
        <v>33-200</v>
      </c>
      <c r="N969" s="2" t="str">
        <f>"146422711"</f>
        <v>146422711</v>
      </c>
      <c r="O969" s="2" t="s">
        <v>3152</v>
      </c>
      <c r="P969" s="2" t="s">
        <v>121</v>
      </c>
    </row>
    <row r="970" spans="1:16" x14ac:dyDescent="0.25">
      <c r="A970" s="2">
        <v>12747</v>
      </c>
      <c r="B970" s="2" t="str">
        <f>"001053889"</f>
        <v>001053889</v>
      </c>
      <c r="C970" s="2" t="s">
        <v>16</v>
      </c>
      <c r="D970" s="2" t="s">
        <v>3153</v>
      </c>
      <c r="E970" s="2" t="s">
        <v>101</v>
      </c>
      <c r="F970" s="2" t="s">
        <v>734</v>
      </c>
      <c r="G970" s="2" t="s">
        <v>3154</v>
      </c>
      <c r="H970" s="2" t="s">
        <v>3154</v>
      </c>
      <c r="I970" s="2" t="s">
        <v>30</v>
      </c>
      <c r="J970" s="2" t="s">
        <v>823</v>
      </c>
      <c r="K970" s="2" t="str">
        <f>"28"</f>
        <v>28</v>
      </c>
      <c r="L970" s="2" t="str">
        <f>""</f>
        <v/>
      </c>
      <c r="M970" s="2" t="str">
        <f>"39-200"</f>
        <v>39-200</v>
      </c>
      <c r="N970" s="2" t="str">
        <f>"146702460"</f>
        <v>146702460</v>
      </c>
      <c r="O970" s="2" t="s">
        <v>3155</v>
      </c>
      <c r="P970" s="2" t="s">
        <v>121</v>
      </c>
    </row>
    <row r="971" spans="1:16" x14ac:dyDescent="0.25">
      <c r="A971" s="2">
        <v>72686</v>
      </c>
      <c r="B971" s="2" t="str">
        <f>"000711860"</f>
        <v>000711860</v>
      </c>
      <c r="C971" s="2" t="s">
        <v>16</v>
      </c>
      <c r="D971" s="2" t="s">
        <v>3156</v>
      </c>
      <c r="E971" s="2" t="s">
        <v>34</v>
      </c>
      <c r="F971" s="2" t="s">
        <v>829</v>
      </c>
      <c r="G971" s="2" t="s">
        <v>3157</v>
      </c>
      <c r="H971" s="2" t="s">
        <v>3157</v>
      </c>
      <c r="I971" s="2" t="s">
        <v>30</v>
      </c>
      <c r="J971" s="2" t="s">
        <v>138</v>
      </c>
      <c r="K971" s="2" t="str">
        <f>"30B"</f>
        <v>30B</v>
      </c>
      <c r="L971" s="2" t="str">
        <f>""</f>
        <v/>
      </c>
      <c r="M971" s="2" t="str">
        <f>"74-400"</f>
        <v>74-400</v>
      </c>
      <c r="N971" s="2" t="str">
        <f>"957602338"</f>
        <v>957602338</v>
      </c>
      <c r="O971" s="2" t="s">
        <v>3158</v>
      </c>
      <c r="P971" s="2" t="s">
        <v>121</v>
      </c>
    </row>
    <row r="972" spans="1:16" x14ac:dyDescent="0.25">
      <c r="A972" s="2">
        <v>58474</v>
      </c>
      <c r="B972" s="2" t="str">
        <f>"350691929"</f>
        <v>350691929</v>
      </c>
      <c r="C972" s="2" t="s">
        <v>16</v>
      </c>
      <c r="D972" s="2" t="s">
        <v>3159</v>
      </c>
      <c r="E972" s="2" t="s">
        <v>27</v>
      </c>
      <c r="F972" s="2" t="s">
        <v>729</v>
      </c>
      <c r="G972" s="2" t="s">
        <v>3160</v>
      </c>
      <c r="H972" s="2" t="s">
        <v>3160</v>
      </c>
      <c r="I972" s="2" t="s">
        <v>30</v>
      </c>
      <c r="J972" s="2" t="s">
        <v>671</v>
      </c>
      <c r="K972" s="2" t="str">
        <f>"20b"</f>
        <v>20b</v>
      </c>
      <c r="L972" s="2" t="str">
        <f>""</f>
        <v/>
      </c>
      <c r="M972" s="2" t="str">
        <f>"32-410"</f>
        <v>32-410</v>
      </c>
      <c r="N972" s="2" t="str">
        <f>"122711613"</f>
        <v>122711613</v>
      </c>
      <c r="O972" s="2" t="s">
        <v>3161</v>
      </c>
      <c r="P972" s="2" t="s">
        <v>121</v>
      </c>
    </row>
    <row r="973" spans="1:16" x14ac:dyDescent="0.25">
      <c r="A973" s="2">
        <v>53095</v>
      </c>
      <c r="B973" s="2" t="str">
        <f>"331351111"</f>
        <v>331351111</v>
      </c>
      <c r="C973" s="2" t="s">
        <v>16</v>
      </c>
      <c r="D973" s="2" t="s">
        <v>3162</v>
      </c>
      <c r="E973" s="2" t="s">
        <v>34</v>
      </c>
      <c r="F973" s="2" t="s">
        <v>1052</v>
      </c>
      <c r="G973" s="2" t="s">
        <v>3163</v>
      </c>
      <c r="H973" s="2" t="s">
        <v>3163</v>
      </c>
      <c r="I973" s="2" t="s">
        <v>30</v>
      </c>
      <c r="J973" s="2" t="s">
        <v>881</v>
      </c>
      <c r="K973" s="2" t="str">
        <f>"20"</f>
        <v>20</v>
      </c>
      <c r="L973" s="2" t="str">
        <f>""</f>
        <v/>
      </c>
      <c r="M973" s="2" t="str">
        <f>"78-500"</f>
        <v>78-500</v>
      </c>
      <c r="N973" s="2" t="str">
        <f>"576658764"</f>
        <v>576658764</v>
      </c>
      <c r="O973" s="2" t="s">
        <v>3164</v>
      </c>
      <c r="P973" s="2" t="s">
        <v>121</v>
      </c>
    </row>
    <row r="974" spans="1:16" x14ac:dyDescent="0.25">
      <c r="A974" s="2">
        <v>30000</v>
      </c>
      <c r="B974" s="2" t="str">
        <f>"519477861"</f>
        <v>519477861</v>
      </c>
      <c r="C974" s="2" t="s">
        <v>16</v>
      </c>
      <c r="D974" s="2" t="s">
        <v>3165</v>
      </c>
      <c r="E974" s="2" t="s">
        <v>389</v>
      </c>
      <c r="F974" s="2" t="s">
        <v>3166</v>
      </c>
      <c r="G974" s="2" t="s">
        <v>3167</v>
      </c>
      <c r="H974" s="2" t="s">
        <v>3167</v>
      </c>
      <c r="I974" s="2" t="s">
        <v>30</v>
      </c>
      <c r="J974" s="2" t="s">
        <v>57</v>
      </c>
      <c r="K974" s="2" t="str">
        <f>"16"</f>
        <v>16</v>
      </c>
      <c r="L974" s="2" t="str">
        <f>""</f>
        <v/>
      </c>
      <c r="M974" s="2" t="str">
        <f>"13-200"</f>
        <v>13-200</v>
      </c>
      <c r="N974" s="2" t="str">
        <f>"236976251"</f>
        <v>236976251</v>
      </c>
      <c r="O974" s="2" t="s">
        <v>3168</v>
      </c>
      <c r="P974" s="2" t="s">
        <v>121</v>
      </c>
    </row>
    <row r="975" spans="1:16" x14ac:dyDescent="0.25">
      <c r="A975" s="2">
        <v>57602</v>
      </c>
      <c r="B975" s="2" t="str">
        <f>"51947786100021"</f>
        <v>51947786100021</v>
      </c>
      <c r="C975" s="2" t="s">
        <v>16</v>
      </c>
      <c r="D975" s="2" t="s">
        <v>3169</v>
      </c>
      <c r="E975" s="2" t="s">
        <v>389</v>
      </c>
      <c r="F975" s="2" t="s">
        <v>3166</v>
      </c>
      <c r="G975" s="2" t="s">
        <v>3170</v>
      </c>
      <c r="H975" s="2" t="s">
        <v>3170</v>
      </c>
      <c r="I975" s="2" t="s">
        <v>30</v>
      </c>
      <c r="J975" s="2" t="s">
        <v>3171</v>
      </c>
      <c r="K975" s="2" t="str">
        <f>"20"</f>
        <v>20</v>
      </c>
      <c r="L975" s="2" t="str">
        <f>""</f>
        <v/>
      </c>
      <c r="M975" s="2" t="str">
        <f>"13-230"</f>
        <v>13-230</v>
      </c>
      <c r="N975" s="2" t="str">
        <f>"236961269"</f>
        <v>236961269</v>
      </c>
      <c r="O975" s="2" t="s">
        <v>3172</v>
      </c>
      <c r="P975" s="2" t="s">
        <v>121</v>
      </c>
    </row>
    <row r="976" spans="1:16" x14ac:dyDescent="0.25">
      <c r="A976" s="2">
        <v>113972</v>
      </c>
      <c r="B976" s="2" t="str">
        <f>"146640864"</f>
        <v>146640864</v>
      </c>
      <c r="C976" s="2" t="s">
        <v>16</v>
      </c>
      <c r="D976" s="2" t="s">
        <v>3173</v>
      </c>
      <c r="E976" s="2" t="s">
        <v>18</v>
      </c>
      <c r="F976" s="2" t="s">
        <v>1137</v>
      </c>
      <c r="G976" s="2" t="s">
        <v>1263</v>
      </c>
      <c r="H976" s="2" t="s">
        <v>3174</v>
      </c>
      <c r="I976" s="2" t="s">
        <v>68</v>
      </c>
      <c r="J976" s="2" t="s">
        <v>3175</v>
      </c>
      <c r="K976" s="2" t="str">
        <f>"6"</f>
        <v>6</v>
      </c>
      <c r="L976" s="2" t="str">
        <f>""</f>
        <v/>
      </c>
      <c r="M976" s="2" t="str">
        <f>"05-092"</f>
        <v>05-092</v>
      </c>
      <c r="N976" s="2" t="str">
        <f>"227515786"</f>
        <v>227515786</v>
      </c>
      <c r="O976" s="2" t="s">
        <v>3176</v>
      </c>
      <c r="P976" s="2" t="s">
        <v>121</v>
      </c>
    </row>
    <row r="977" spans="1:16" x14ac:dyDescent="0.25">
      <c r="A977" s="2">
        <v>35292</v>
      </c>
      <c r="B977" s="2" t="str">
        <f>"000695806"</f>
        <v>000695806</v>
      </c>
      <c r="C977" s="2" t="s">
        <v>16</v>
      </c>
      <c r="D977" s="2" t="s">
        <v>3177</v>
      </c>
      <c r="E977" s="2" t="s">
        <v>389</v>
      </c>
      <c r="F977" s="2" t="s">
        <v>2200</v>
      </c>
      <c r="G977" s="2" t="s">
        <v>2201</v>
      </c>
      <c r="H977" s="2" t="s">
        <v>2201</v>
      </c>
      <c r="I977" s="2" t="s">
        <v>30</v>
      </c>
      <c r="J977" s="2" t="s">
        <v>3178</v>
      </c>
      <c r="K977" s="2" t="str">
        <f>"8"</f>
        <v>8</v>
      </c>
      <c r="L977" s="2" t="str">
        <f>""</f>
        <v/>
      </c>
      <c r="M977" s="2" t="str">
        <f>"19-300"</f>
        <v>19-300</v>
      </c>
      <c r="N977" s="2" t="str">
        <f>"876102747"</f>
        <v>876102747</v>
      </c>
      <c r="O977" s="2" t="s">
        <v>3179</v>
      </c>
      <c r="P977" s="2" t="s">
        <v>121</v>
      </c>
    </row>
    <row r="978" spans="1:16" x14ac:dyDescent="0.25">
      <c r="A978" s="2">
        <v>52870</v>
      </c>
      <c r="B978" s="2" t="str">
        <f>"000994408"</f>
        <v>000994408</v>
      </c>
      <c r="C978" s="2" t="s">
        <v>16</v>
      </c>
      <c r="D978" s="2" t="s">
        <v>3180</v>
      </c>
      <c r="E978" s="2" t="s">
        <v>18</v>
      </c>
      <c r="F978" s="2" t="s">
        <v>1175</v>
      </c>
      <c r="G978" s="2" t="s">
        <v>1176</v>
      </c>
      <c r="H978" s="2" t="s">
        <v>1176</v>
      </c>
      <c r="I978" s="2" t="s">
        <v>30</v>
      </c>
      <c r="J978" s="2" t="s">
        <v>560</v>
      </c>
      <c r="K978" s="2" t="str">
        <f>"3"</f>
        <v>3</v>
      </c>
      <c r="L978" s="2" t="str">
        <f>""</f>
        <v/>
      </c>
      <c r="M978" s="2" t="str">
        <f>"08-400"</f>
        <v>08-400</v>
      </c>
      <c r="N978" s="2" t="str">
        <f>"256843789"</f>
        <v>256843789</v>
      </c>
      <c r="O978" s="2" t="s">
        <v>3181</v>
      </c>
      <c r="P978" s="2" t="s">
        <v>121</v>
      </c>
    </row>
    <row r="979" spans="1:16" x14ac:dyDescent="0.25">
      <c r="A979" s="2">
        <v>10017</v>
      </c>
      <c r="B979" s="2" t="str">
        <f>"000724264"</f>
        <v>000724264</v>
      </c>
      <c r="C979" s="2" t="s">
        <v>16</v>
      </c>
      <c r="D979" s="2" t="s">
        <v>3182</v>
      </c>
      <c r="E979" s="2" t="s">
        <v>117</v>
      </c>
      <c r="F979" s="2" t="s">
        <v>213</v>
      </c>
      <c r="G979" s="2" t="s">
        <v>213</v>
      </c>
      <c r="H979" s="2" t="s">
        <v>213</v>
      </c>
      <c r="I979" s="2" t="s">
        <v>30</v>
      </c>
      <c r="J979" s="2" t="s">
        <v>3183</v>
      </c>
      <c r="K979" s="2" t="str">
        <f>"1"</f>
        <v>1</v>
      </c>
      <c r="L979" s="2" t="str">
        <f>""</f>
        <v/>
      </c>
      <c r="M979" s="2" t="str">
        <f>"44-102"</f>
        <v>44-102</v>
      </c>
      <c r="N979" s="2" t="str">
        <f>"322310569"</f>
        <v>322310569</v>
      </c>
      <c r="O979" s="2" t="s">
        <v>3184</v>
      </c>
      <c r="P979" s="2" t="s">
        <v>121</v>
      </c>
    </row>
    <row r="980" spans="1:16" x14ac:dyDescent="0.25">
      <c r="A980" s="2">
        <v>13616</v>
      </c>
      <c r="B980" s="2" t="str">
        <f>"000708874"</f>
        <v>000708874</v>
      </c>
      <c r="C980" s="2" t="s">
        <v>16</v>
      </c>
      <c r="D980" s="2" t="s">
        <v>3185</v>
      </c>
      <c r="E980" s="2" t="s">
        <v>64</v>
      </c>
      <c r="F980" s="2" t="s">
        <v>852</v>
      </c>
      <c r="G980" s="2" t="s">
        <v>853</v>
      </c>
      <c r="H980" s="2" t="s">
        <v>853</v>
      </c>
      <c r="I980" s="2" t="s">
        <v>30</v>
      </c>
      <c r="J980" s="2" t="s">
        <v>3186</v>
      </c>
      <c r="K980" s="2" t="str">
        <f>"52"</f>
        <v>52</v>
      </c>
      <c r="L980" s="2" t="str">
        <f>""</f>
        <v/>
      </c>
      <c r="M980" s="2" t="str">
        <f>"67-200"</f>
        <v>67-200</v>
      </c>
      <c r="N980" s="2" t="str">
        <f>"768357540"</f>
        <v>768357540</v>
      </c>
      <c r="O980" s="2" t="s">
        <v>3187</v>
      </c>
      <c r="P980" s="2" t="s">
        <v>121</v>
      </c>
    </row>
    <row r="981" spans="1:16" x14ac:dyDescent="0.25">
      <c r="A981" s="2">
        <v>28513</v>
      </c>
      <c r="B981" s="2" t="str">
        <f>"000695812"</f>
        <v>000695812</v>
      </c>
      <c r="C981" s="2" t="s">
        <v>16</v>
      </c>
      <c r="D981" s="2" t="s">
        <v>3188</v>
      </c>
      <c r="E981" s="2" t="s">
        <v>389</v>
      </c>
      <c r="F981" s="2" t="s">
        <v>3189</v>
      </c>
      <c r="G981" s="2" t="s">
        <v>3190</v>
      </c>
      <c r="H981" s="2" t="s">
        <v>3190</v>
      </c>
      <c r="I981" s="2" t="s">
        <v>30</v>
      </c>
      <c r="J981" s="2" t="s">
        <v>514</v>
      </c>
      <c r="K981" s="2" t="str">
        <f>"11"</f>
        <v>11</v>
      </c>
      <c r="L981" s="2" t="str">
        <f>""</f>
        <v/>
      </c>
      <c r="M981" s="2" t="str">
        <f>"19-500"</f>
        <v>19-500</v>
      </c>
      <c r="N981" s="2" t="str">
        <f>"876107430"</f>
        <v>876107430</v>
      </c>
      <c r="O981" s="2" t="s">
        <v>3191</v>
      </c>
      <c r="P981" s="2" t="s">
        <v>121</v>
      </c>
    </row>
    <row r="982" spans="1:16" x14ac:dyDescent="0.25">
      <c r="A982" s="2">
        <v>17370</v>
      </c>
      <c r="B982" s="2" t="str">
        <f>"001018634"</f>
        <v>001018634</v>
      </c>
      <c r="C982" s="2" t="s">
        <v>16</v>
      </c>
      <c r="D982" s="2" t="s">
        <v>3192</v>
      </c>
      <c r="E982" s="2" t="s">
        <v>27</v>
      </c>
      <c r="F982" s="2" t="s">
        <v>1242</v>
      </c>
      <c r="G982" s="2" t="s">
        <v>1243</v>
      </c>
      <c r="H982" s="2" t="s">
        <v>1243</v>
      </c>
      <c r="I982" s="2" t="s">
        <v>30</v>
      </c>
      <c r="J982" s="2" t="s">
        <v>2050</v>
      </c>
      <c r="K982" s="2" t="str">
        <f>"5A"</f>
        <v>5A</v>
      </c>
      <c r="L982" s="2" t="str">
        <f>""</f>
        <v/>
      </c>
      <c r="M982" s="2" t="str">
        <f>"38-300"</f>
        <v>38-300</v>
      </c>
      <c r="N982" s="2" t="str">
        <f>"183537255"</f>
        <v>183537255</v>
      </c>
      <c r="O982" s="2" t="s">
        <v>3193</v>
      </c>
      <c r="P982" s="2" t="s">
        <v>121</v>
      </c>
    </row>
    <row r="983" spans="1:16" x14ac:dyDescent="0.25">
      <c r="A983" s="2">
        <v>264273</v>
      </c>
      <c r="B983" s="2" t="str">
        <f>"00101863400026"</f>
        <v>00101863400026</v>
      </c>
      <c r="C983" s="2" t="s">
        <v>16</v>
      </c>
      <c r="D983" s="2" t="s">
        <v>3194</v>
      </c>
      <c r="E983" s="2" t="s">
        <v>27</v>
      </c>
      <c r="F983" s="2" t="s">
        <v>1242</v>
      </c>
      <c r="G983" s="2" t="s">
        <v>3195</v>
      </c>
      <c r="H983" s="2" t="s">
        <v>3195</v>
      </c>
      <c r="I983" s="2" t="s">
        <v>30</v>
      </c>
      <c r="J983" s="2" t="s">
        <v>823</v>
      </c>
      <c r="K983" s="2" t="str">
        <f>"1"</f>
        <v>1</v>
      </c>
      <c r="L983" s="2" t="str">
        <f>""</f>
        <v/>
      </c>
      <c r="M983" s="2" t="str">
        <f>"38-340"</f>
        <v>38-340</v>
      </c>
      <c r="N983" s="2" t="str">
        <f>"134471268"</f>
        <v>134471268</v>
      </c>
      <c r="O983" s="2" t="s">
        <v>3196</v>
      </c>
      <c r="P983" s="2" t="s">
        <v>121</v>
      </c>
    </row>
    <row r="984" spans="1:16" x14ac:dyDescent="0.25">
      <c r="A984" s="2">
        <v>104077</v>
      </c>
      <c r="B984" s="2" t="str">
        <f>"022032655"</f>
        <v>022032655</v>
      </c>
      <c r="C984" s="2" t="s">
        <v>16</v>
      </c>
      <c r="D984" s="2" t="s">
        <v>3197</v>
      </c>
      <c r="E984" s="2" t="s">
        <v>64</v>
      </c>
      <c r="F984" s="2" t="s">
        <v>3198</v>
      </c>
      <c r="G984" s="2" t="s">
        <v>3199</v>
      </c>
      <c r="H984" s="2" t="s">
        <v>3199</v>
      </c>
      <c r="I984" s="2" t="s">
        <v>30</v>
      </c>
      <c r="J984" s="2" t="s">
        <v>3200</v>
      </c>
      <c r="K984" s="2" t="str">
        <f>"27"</f>
        <v>27</v>
      </c>
      <c r="L984" s="2" t="str">
        <f>""</f>
        <v/>
      </c>
      <c r="M984" s="2" t="str">
        <f>"56-200"</f>
        <v>56-200</v>
      </c>
      <c r="N984" s="2" t="str">
        <f>"655433364"</f>
        <v>655433364</v>
      </c>
      <c r="O984" s="2" t="s">
        <v>3201</v>
      </c>
      <c r="P984" s="2" t="s">
        <v>121</v>
      </c>
    </row>
    <row r="985" spans="1:16" x14ac:dyDescent="0.25">
      <c r="A985" s="2">
        <v>7416</v>
      </c>
      <c r="B985" s="2" t="str">
        <f>"000941843"</f>
        <v>000941843</v>
      </c>
      <c r="C985" s="2" t="s">
        <v>16</v>
      </c>
      <c r="D985" s="2" t="s">
        <v>3202</v>
      </c>
      <c r="E985" s="2" t="s">
        <v>18</v>
      </c>
      <c r="F985" s="2" t="s">
        <v>3203</v>
      </c>
      <c r="G985" s="2" t="s">
        <v>3204</v>
      </c>
      <c r="H985" s="2" t="s">
        <v>3204</v>
      </c>
      <c r="I985" s="2" t="s">
        <v>30</v>
      </c>
      <c r="J985" s="2" t="s">
        <v>3205</v>
      </c>
      <c r="K985" s="2" t="str">
        <f>"1a"</f>
        <v>1a</v>
      </c>
      <c r="L985" s="2" t="str">
        <f>""</f>
        <v/>
      </c>
      <c r="M985" s="2" t="str">
        <f>"09-500"</f>
        <v>09-500</v>
      </c>
      <c r="N985" s="2" t="str">
        <f>"242353735"</f>
        <v>242353735</v>
      </c>
      <c r="O985" s="2" t="s">
        <v>3206</v>
      </c>
      <c r="P985" s="2" t="s">
        <v>121</v>
      </c>
    </row>
    <row r="986" spans="1:16" x14ac:dyDescent="0.25">
      <c r="A986" s="2">
        <v>28187</v>
      </c>
      <c r="B986" s="2" t="str">
        <f>"410194828"</f>
        <v>410194828</v>
      </c>
      <c r="C986" s="2" t="s">
        <v>16</v>
      </c>
      <c r="D986" s="2" t="s">
        <v>3207</v>
      </c>
      <c r="E986" s="2" t="s">
        <v>157</v>
      </c>
      <c r="F986" s="2" t="s">
        <v>3208</v>
      </c>
      <c r="G986" s="2" t="s">
        <v>3209</v>
      </c>
      <c r="H986" s="2" t="s">
        <v>3209</v>
      </c>
      <c r="I986" s="2" t="s">
        <v>30</v>
      </c>
      <c r="J986" s="2" t="s">
        <v>43</v>
      </c>
      <c r="K986" s="2" t="str">
        <f>"8"</f>
        <v>8</v>
      </c>
      <c r="L986" s="2" t="str">
        <f>""</f>
        <v/>
      </c>
      <c r="M986" s="2" t="str">
        <f>"63-800"</f>
        <v>63-800</v>
      </c>
      <c r="N986" s="2" t="str">
        <f>"655723177"</f>
        <v>655723177</v>
      </c>
      <c r="O986" s="2" t="s">
        <v>3210</v>
      </c>
      <c r="P986" s="2" t="s">
        <v>121</v>
      </c>
    </row>
    <row r="987" spans="1:16" x14ac:dyDescent="0.25">
      <c r="A987" s="2">
        <v>5403</v>
      </c>
      <c r="B987" s="2" t="str">
        <f>"000833214"</f>
        <v>000833214</v>
      </c>
      <c r="C987" s="2" t="s">
        <v>16</v>
      </c>
      <c r="D987" s="2" t="s">
        <v>3211</v>
      </c>
      <c r="E987" s="2" t="s">
        <v>97</v>
      </c>
      <c r="F987" s="2" t="s">
        <v>1438</v>
      </c>
      <c r="G987" s="2" t="s">
        <v>1439</v>
      </c>
      <c r="H987" s="2" t="s">
        <v>1439</v>
      </c>
      <c r="I987" s="2" t="s">
        <v>30</v>
      </c>
      <c r="J987" s="2" t="s">
        <v>3212</v>
      </c>
      <c r="K987" s="2" t="str">
        <f>"3"</f>
        <v>3</v>
      </c>
      <c r="L987" s="2" t="str">
        <f>""</f>
        <v/>
      </c>
      <c r="M987" s="2" t="str">
        <f>"19-200"</f>
        <v>19-200</v>
      </c>
      <c r="N987" s="2" t="str">
        <f>"862723587"</f>
        <v>862723587</v>
      </c>
      <c r="O987" s="2" t="s">
        <v>3213</v>
      </c>
      <c r="P987" s="2" t="s">
        <v>121</v>
      </c>
    </row>
    <row r="988" spans="1:16" x14ac:dyDescent="0.25">
      <c r="A988" s="2">
        <v>3443</v>
      </c>
      <c r="B988" s="2" t="str">
        <f>"000743020"</f>
        <v>000743020</v>
      </c>
      <c r="C988" s="2" t="s">
        <v>16</v>
      </c>
      <c r="D988" s="2" t="s">
        <v>3214</v>
      </c>
      <c r="E988" s="2" t="s">
        <v>416</v>
      </c>
      <c r="F988" s="2" t="s">
        <v>3097</v>
      </c>
      <c r="G988" s="2" t="s">
        <v>3215</v>
      </c>
      <c r="H988" s="2" t="s">
        <v>3215</v>
      </c>
      <c r="I988" s="2" t="s">
        <v>30</v>
      </c>
      <c r="J988" s="2" t="s">
        <v>3216</v>
      </c>
      <c r="K988" s="2" t="str">
        <f>"3"</f>
        <v>3</v>
      </c>
      <c r="L988" s="2" t="str">
        <f>""</f>
        <v/>
      </c>
      <c r="M988" s="2" t="str">
        <f>"49-200"</f>
        <v>49-200</v>
      </c>
      <c r="N988" s="2" t="str">
        <f>"775400145"</f>
        <v>775400145</v>
      </c>
      <c r="O988" s="2" t="s">
        <v>3217</v>
      </c>
      <c r="P988" s="2" t="s">
        <v>121</v>
      </c>
    </row>
    <row r="989" spans="1:16" x14ac:dyDescent="0.25">
      <c r="A989" s="2">
        <v>52767</v>
      </c>
      <c r="B989" s="2" t="str">
        <f>"000930874"</f>
        <v>000930874</v>
      </c>
      <c r="C989" s="2" t="s">
        <v>16</v>
      </c>
      <c r="D989" s="2" t="s">
        <v>3218</v>
      </c>
      <c r="E989" s="2" t="s">
        <v>18</v>
      </c>
      <c r="F989" s="2" t="s">
        <v>2128</v>
      </c>
      <c r="G989" s="2" t="s">
        <v>2129</v>
      </c>
      <c r="H989" s="2" t="s">
        <v>2129</v>
      </c>
      <c r="I989" s="2" t="s">
        <v>30</v>
      </c>
      <c r="J989" s="2" t="s">
        <v>3219</v>
      </c>
      <c r="K989" s="2" t="str">
        <f>"4"</f>
        <v>4</v>
      </c>
      <c r="L989" s="2" t="str">
        <f>""</f>
        <v/>
      </c>
      <c r="M989" s="2" t="str">
        <f>"05-600"</f>
        <v>05-600</v>
      </c>
      <c r="N989" s="2" t="str">
        <f>"486642356"</f>
        <v>486642356</v>
      </c>
      <c r="O989" s="2" t="s">
        <v>3220</v>
      </c>
      <c r="P989" s="2" t="s">
        <v>121</v>
      </c>
    </row>
    <row r="990" spans="1:16" x14ac:dyDescent="0.25">
      <c r="A990" s="2">
        <v>16771</v>
      </c>
      <c r="B990" s="2" t="str">
        <f>"000703180"</f>
        <v>000703180</v>
      </c>
      <c r="C990" s="2" t="s">
        <v>16</v>
      </c>
      <c r="D990" s="2" t="s">
        <v>3221</v>
      </c>
      <c r="E990" s="2" t="s">
        <v>34</v>
      </c>
      <c r="F990" s="2" t="s">
        <v>3222</v>
      </c>
      <c r="G990" s="2" t="s">
        <v>3223</v>
      </c>
      <c r="H990" s="2" t="s">
        <v>3223</v>
      </c>
      <c r="I990" s="2" t="s">
        <v>30</v>
      </c>
      <c r="J990" s="2" t="s">
        <v>908</v>
      </c>
      <c r="K990" s="2" t="str">
        <f>"8"</f>
        <v>8</v>
      </c>
      <c r="L990" s="2" t="str">
        <f>""</f>
        <v/>
      </c>
      <c r="M990" s="2" t="str">
        <f>"72-300"</f>
        <v>72-300</v>
      </c>
      <c r="N990" s="2" t="str">
        <f>"913842441"</f>
        <v>913842441</v>
      </c>
      <c r="O990" s="2" t="s">
        <v>3224</v>
      </c>
      <c r="P990" s="2" t="s">
        <v>121</v>
      </c>
    </row>
    <row r="991" spans="1:16" x14ac:dyDescent="0.25">
      <c r="A991" s="2">
        <v>40228</v>
      </c>
      <c r="B991" s="2" t="str">
        <f>"000703233"</f>
        <v>000703233</v>
      </c>
      <c r="C991" s="2" t="s">
        <v>16</v>
      </c>
      <c r="D991" s="2" t="s">
        <v>3225</v>
      </c>
      <c r="E991" s="2" t="s">
        <v>34</v>
      </c>
      <c r="F991" s="2" t="s">
        <v>3226</v>
      </c>
      <c r="G991" s="2" t="s">
        <v>3227</v>
      </c>
      <c r="H991" s="2" t="s">
        <v>3227</v>
      </c>
      <c r="I991" s="2" t="s">
        <v>30</v>
      </c>
      <c r="J991" s="2" t="s">
        <v>2090</v>
      </c>
      <c r="K991" s="2" t="str">
        <f>"91"</f>
        <v>91</v>
      </c>
      <c r="L991" s="2" t="str">
        <f>""</f>
        <v/>
      </c>
      <c r="M991" s="2" t="str">
        <f>"74-100"</f>
        <v>74-100</v>
      </c>
      <c r="N991" s="2" t="str">
        <f>"914162737"</f>
        <v>914162737</v>
      </c>
      <c r="O991" s="2" t="s">
        <v>3228</v>
      </c>
      <c r="P991" s="2" t="s">
        <v>121</v>
      </c>
    </row>
    <row r="992" spans="1:16" x14ac:dyDescent="0.25">
      <c r="A992" s="2">
        <v>110427</v>
      </c>
      <c r="B992" s="2" t="str">
        <f>"00070323300029"</f>
        <v>00070323300029</v>
      </c>
      <c r="C992" s="2" t="s">
        <v>16</v>
      </c>
      <c r="D992" s="2" t="s">
        <v>3229</v>
      </c>
      <c r="E992" s="2" t="s">
        <v>34</v>
      </c>
      <c r="F992" s="2" t="s">
        <v>3226</v>
      </c>
      <c r="G992" s="2" t="s">
        <v>3230</v>
      </c>
      <c r="H992" s="2" t="s">
        <v>3230</v>
      </c>
      <c r="I992" s="2" t="s">
        <v>30</v>
      </c>
      <c r="J992" s="2" t="s">
        <v>402</v>
      </c>
      <c r="K992" s="2" t="str">
        <f>"1"</f>
        <v>1</v>
      </c>
      <c r="L992" s="2" t="str">
        <f>""</f>
        <v/>
      </c>
      <c r="M992" s="2" t="str">
        <f>"74-500"</f>
        <v>74-500</v>
      </c>
      <c r="N992" s="2" t="str">
        <f>"914312829"</f>
        <v>914312829</v>
      </c>
      <c r="O992" s="2" t="s">
        <v>3231</v>
      </c>
      <c r="P992" s="2" t="s">
        <v>121</v>
      </c>
    </row>
    <row r="993" spans="1:16" x14ac:dyDescent="0.25">
      <c r="A993" s="2">
        <v>47205</v>
      </c>
      <c r="B993" s="2" t="str">
        <f>"970110677"</f>
        <v>970110677</v>
      </c>
      <c r="C993" s="2" t="s">
        <v>16</v>
      </c>
      <c r="D993" s="2" t="s">
        <v>3232</v>
      </c>
      <c r="E993" s="2" t="s">
        <v>240</v>
      </c>
      <c r="F993" s="2" t="s">
        <v>2403</v>
      </c>
      <c r="G993" s="2" t="s">
        <v>3233</v>
      </c>
      <c r="H993" s="2" t="s">
        <v>3233</v>
      </c>
      <c r="I993" s="2" t="s">
        <v>30</v>
      </c>
      <c r="J993" s="2" t="s">
        <v>3234</v>
      </c>
      <c r="K993" s="2" t="str">
        <f>"1"</f>
        <v>1</v>
      </c>
      <c r="L993" s="2" t="str">
        <f>""</f>
        <v/>
      </c>
      <c r="M993" s="2" t="str">
        <f>"66-620"</f>
        <v>66-620</v>
      </c>
      <c r="N993" s="2" t="str">
        <f>"684558252"</f>
        <v>684558252</v>
      </c>
      <c r="O993" s="2" t="s">
        <v>3235</v>
      </c>
      <c r="P993" s="2" t="s">
        <v>121</v>
      </c>
    </row>
    <row r="994" spans="1:16" x14ac:dyDescent="0.25">
      <c r="A994" s="2">
        <v>85327</v>
      </c>
      <c r="B994" s="2" t="str">
        <f>"000707828"</f>
        <v>000707828</v>
      </c>
      <c r="C994" s="2" t="s">
        <v>16</v>
      </c>
      <c r="D994" s="2" t="s">
        <v>3236</v>
      </c>
      <c r="E994" s="2" t="s">
        <v>112</v>
      </c>
      <c r="F994" s="2" t="s">
        <v>1675</v>
      </c>
      <c r="G994" s="2" t="s">
        <v>1676</v>
      </c>
      <c r="H994" s="2" t="s">
        <v>1676</v>
      </c>
      <c r="I994" s="2" t="s">
        <v>30</v>
      </c>
      <c r="J994" s="2" t="s">
        <v>3237</v>
      </c>
      <c r="K994" s="2" t="str">
        <f>"16a"</f>
        <v>16a</v>
      </c>
      <c r="L994" s="2" t="str">
        <f>""</f>
        <v/>
      </c>
      <c r="M994" s="2" t="str">
        <f>"22-500"</f>
        <v>22-500</v>
      </c>
      <c r="N994" s="2" t="str">
        <f>"846962907"</f>
        <v>846962907</v>
      </c>
      <c r="O994" s="2" t="s">
        <v>3238</v>
      </c>
      <c r="P994" s="2" t="s">
        <v>121</v>
      </c>
    </row>
    <row r="995" spans="1:16" x14ac:dyDescent="0.25">
      <c r="A995" s="2">
        <v>6220</v>
      </c>
      <c r="B995" s="2" t="str">
        <f>"670965230"</f>
        <v>670965230</v>
      </c>
      <c r="C995" s="2" t="s">
        <v>16</v>
      </c>
      <c r="D995" s="2" t="s">
        <v>3239</v>
      </c>
      <c r="E995" s="2" t="s">
        <v>18</v>
      </c>
      <c r="F995" s="2" t="s">
        <v>3240</v>
      </c>
      <c r="G995" s="2" t="s">
        <v>3241</v>
      </c>
      <c r="H995" s="2" t="s">
        <v>3241</v>
      </c>
      <c r="I995" s="2" t="s">
        <v>30</v>
      </c>
      <c r="J995" s="2" t="s">
        <v>3242</v>
      </c>
      <c r="K995" s="2" t="str">
        <f>"5"</f>
        <v>5</v>
      </c>
      <c r="L995" s="2" t="str">
        <f>""</f>
        <v/>
      </c>
      <c r="M995" s="2" t="str">
        <f>"27-100"</f>
        <v>27-100</v>
      </c>
      <c r="N995" s="2" t="str">
        <f>"486163513"</f>
        <v>486163513</v>
      </c>
      <c r="O995" s="2" t="s">
        <v>3243</v>
      </c>
      <c r="P995" s="2" t="s">
        <v>121</v>
      </c>
    </row>
    <row r="996" spans="1:16" x14ac:dyDescent="0.25">
      <c r="A996" s="2">
        <v>55503</v>
      </c>
      <c r="B996" s="2" t="str">
        <f>"000217870"</f>
        <v>000217870</v>
      </c>
      <c r="C996" s="2" t="s">
        <v>16</v>
      </c>
      <c r="D996" s="2" t="s">
        <v>3244</v>
      </c>
      <c r="E996" s="2" t="s">
        <v>181</v>
      </c>
      <c r="F996" s="2" t="s">
        <v>182</v>
      </c>
      <c r="G996" s="2" t="s">
        <v>183</v>
      </c>
      <c r="H996" s="2" t="s">
        <v>183</v>
      </c>
      <c r="I996" s="2" t="s">
        <v>30</v>
      </c>
      <c r="J996" s="2" t="s">
        <v>3245</v>
      </c>
      <c r="K996" s="2" t="str">
        <f>"38"</f>
        <v>38</v>
      </c>
      <c r="L996" s="2" t="str">
        <f>""</f>
        <v/>
      </c>
      <c r="M996" s="2" t="str">
        <f>"88-100"</f>
        <v>88-100</v>
      </c>
      <c r="N996" s="2" t="str">
        <f>"523592145"</f>
        <v>523592145</v>
      </c>
      <c r="O996" s="2" t="s">
        <v>3246</v>
      </c>
      <c r="P996" s="2" t="s">
        <v>121</v>
      </c>
    </row>
    <row r="997" spans="1:16" x14ac:dyDescent="0.25">
      <c r="A997" s="2">
        <v>71846</v>
      </c>
      <c r="B997" s="2" t="str">
        <f>"00021787000021"</f>
        <v>00021787000021</v>
      </c>
      <c r="C997" s="2" t="s">
        <v>16</v>
      </c>
      <c r="D997" s="2" t="s">
        <v>3247</v>
      </c>
      <c r="E997" s="2" t="s">
        <v>181</v>
      </c>
      <c r="F997" s="2" t="s">
        <v>182</v>
      </c>
      <c r="G997" s="2" t="s">
        <v>3248</v>
      </c>
      <c r="H997" s="2" t="s">
        <v>3248</v>
      </c>
      <c r="I997" s="2" t="s">
        <v>30</v>
      </c>
      <c r="J997" s="2" t="s">
        <v>3249</v>
      </c>
      <c r="K997" s="2" t="str">
        <f>"20"</f>
        <v>20</v>
      </c>
      <c r="L997" s="2" t="str">
        <f>""</f>
        <v/>
      </c>
      <c r="M997" s="2" t="str">
        <f>"88-150"</f>
        <v>88-150</v>
      </c>
      <c r="N997" s="2" t="str">
        <f>"523515418"</f>
        <v>523515418</v>
      </c>
      <c r="O997" s="2" t="s">
        <v>3246</v>
      </c>
      <c r="P997" s="2" t="s">
        <v>121</v>
      </c>
    </row>
    <row r="998" spans="1:16" x14ac:dyDescent="0.25">
      <c r="A998" s="2">
        <v>14989</v>
      </c>
      <c r="B998" s="2" t="str">
        <f>"000902665"</f>
        <v>000902665</v>
      </c>
      <c r="C998" s="2" t="s">
        <v>16</v>
      </c>
      <c r="D998" s="2" t="s">
        <v>3250</v>
      </c>
      <c r="E998" s="2" t="s">
        <v>112</v>
      </c>
      <c r="F998" s="2" t="s">
        <v>3251</v>
      </c>
      <c r="G998" s="2" t="s">
        <v>3252</v>
      </c>
      <c r="H998" s="2" t="s">
        <v>3252</v>
      </c>
      <c r="I998" s="2" t="s">
        <v>30</v>
      </c>
      <c r="J998" s="2" t="s">
        <v>3253</v>
      </c>
      <c r="K998" s="2" t="str">
        <f>"77"</f>
        <v>77</v>
      </c>
      <c r="L998" s="2" t="str">
        <f>""</f>
        <v/>
      </c>
      <c r="M998" s="2" t="str">
        <f>"23-300"</f>
        <v>23-300</v>
      </c>
      <c r="N998" s="2" t="str">
        <f>"158724041"</f>
        <v>158724041</v>
      </c>
      <c r="O998" s="2" t="s">
        <v>3254</v>
      </c>
      <c r="P998" s="2" t="s">
        <v>121</v>
      </c>
    </row>
    <row r="999" spans="1:16" x14ac:dyDescent="0.25">
      <c r="A999" s="2">
        <v>42818</v>
      </c>
      <c r="B999" s="2" t="str">
        <f>"000693701"</f>
        <v>000693701</v>
      </c>
      <c r="C999" s="2" t="s">
        <v>16</v>
      </c>
      <c r="D999" s="2" t="s">
        <v>3255</v>
      </c>
      <c r="E999" s="2" t="s">
        <v>157</v>
      </c>
      <c r="F999" s="2" t="s">
        <v>1941</v>
      </c>
      <c r="G999" s="2" t="s">
        <v>1942</v>
      </c>
      <c r="H999" s="2" t="s">
        <v>1942</v>
      </c>
      <c r="I999" s="2" t="s">
        <v>30</v>
      </c>
      <c r="J999" s="2" t="s">
        <v>3256</v>
      </c>
      <c r="K999" s="2" t="str">
        <f>"21"</f>
        <v>21</v>
      </c>
      <c r="L999" s="2" t="str">
        <f>""</f>
        <v/>
      </c>
      <c r="M999" s="2" t="str">
        <f>"63-200"</f>
        <v>63-200</v>
      </c>
      <c r="N999" s="2" t="str">
        <f>"627472245"</f>
        <v>627472245</v>
      </c>
      <c r="O999" s="2" t="s">
        <v>3257</v>
      </c>
      <c r="P999" s="2" t="s">
        <v>121</v>
      </c>
    </row>
    <row r="1000" spans="1:16" x14ac:dyDescent="0.25">
      <c r="A1000" s="2">
        <v>24620</v>
      </c>
      <c r="B1000" s="2" t="str">
        <f>"371000797"</f>
        <v>371000797</v>
      </c>
      <c r="C1000" s="2" t="s">
        <v>16</v>
      </c>
      <c r="D1000" s="2" t="s">
        <v>3258</v>
      </c>
      <c r="E1000" s="2" t="s">
        <v>101</v>
      </c>
      <c r="F1000" s="2" t="s">
        <v>1387</v>
      </c>
      <c r="G1000" s="2" t="s">
        <v>1388</v>
      </c>
      <c r="H1000" s="2" t="s">
        <v>1388</v>
      </c>
      <c r="I1000" s="2" t="s">
        <v>30</v>
      </c>
      <c r="J1000" s="2" t="s">
        <v>1572</v>
      </c>
      <c r="K1000" s="2" t="str">
        <f>"6"</f>
        <v>6</v>
      </c>
      <c r="L1000" s="2" t="str">
        <f>""</f>
        <v/>
      </c>
      <c r="M1000" s="2" t="str">
        <f>"38-200"</f>
        <v>38-200</v>
      </c>
      <c r="N1000" s="2" t="str">
        <f>"0134464546"</f>
        <v>0134464546</v>
      </c>
      <c r="O1000" s="2" t="s">
        <v>3259</v>
      </c>
      <c r="P1000" s="2" t="s">
        <v>121</v>
      </c>
    </row>
    <row r="1001" spans="1:16" x14ac:dyDescent="0.25">
      <c r="A1001" s="2">
        <v>75026</v>
      </c>
      <c r="B1001" s="2" t="str">
        <f>"000729050"</f>
        <v>000729050</v>
      </c>
      <c r="C1001" s="2" t="s">
        <v>16</v>
      </c>
      <c r="D1001" s="2" t="s">
        <v>3260</v>
      </c>
      <c r="E1001" s="2" t="s">
        <v>117</v>
      </c>
      <c r="F1001" s="2" t="s">
        <v>615</v>
      </c>
      <c r="G1001" s="2" t="s">
        <v>615</v>
      </c>
      <c r="H1001" s="2" t="s">
        <v>615</v>
      </c>
      <c r="I1001" s="2" t="s">
        <v>30</v>
      </c>
      <c r="J1001" s="2" t="s">
        <v>3261</v>
      </c>
      <c r="K1001" s="2" t="str">
        <f>"14"</f>
        <v>14</v>
      </c>
      <c r="L1001" s="2" t="str">
        <f>""</f>
        <v/>
      </c>
      <c r="M1001" s="2" t="str">
        <f>"43-603"</f>
        <v>43-603</v>
      </c>
      <c r="N1001" s="2" t="str">
        <f>"327629137"</f>
        <v>327629137</v>
      </c>
      <c r="O1001" s="2" t="s">
        <v>3262</v>
      </c>
      <c r="P1001" s="2" t="s">
        <v>121</v>
      </c>
    </row>
    <row r="1002" spans="1:16" x14ac:dyDescent="0.25">
      <c r="A1002" s="2">
        <v>35227</v>
      </c>
      <c r="B1002" s="2" t="str">
        <f>"001014406"</f>
        <v>001014406</v>
      </c>
      <c r="C1002" s="2" t="s">
        <v>16</v>
      </c>
      <c r="D1002" s="2" t="s">
        <v>3263</v>
      </c>
      <c r="E1002" s="2" t="s">
        <v>74</v>
      </c>
      <c r="F1002" s="2" t="s">
        <v>1753</v>
      </c>
      <c r="G1002" s="2" t="s">
        <v>1754</v>
      </c>
      <c r="H1002" s="2" t="s">
        <v>1754</v>
      </c>
      <c r="I1002" s="2" t="s">
        <v>30</v>
      </c>
      <c r="J1002" s="2" t="s">
        <v>1928</v>
      </c>
      <c r="K1002" s="2" t="str">
        <f>"1"</f>
        <v>1</v>
      </c>
      <c r="L1002" s="2" t="str">
        <f>""</f>
        <v/>
      </c>
      <c r="M1002" s="2" t="str">
        <f>"28-300"</f>
        <v>28-300</v>
      </c>
      <c r="N1002" s="2" t="str">
        <f>"0413861722"</f>
        <v>0413861722</v>
      </c>
      <c r="O1002" s="2" t="s">
        <v>3264</v>
      </c>
      <c r="P1002" s="2" t="s">
        <v>121</v>
      </c>
    </row>
    <row r="1003" spans="1:16" x14ac:dyDescent="0.25">
      <c r="A1003" s="2">
        <v>12533</v>
      </c>
      <c r="B1003" s="2" t="str">
        <f>"932253432"</f>
        <v>932253432</v>
      </c>
      <c r="C1003" s="2" t="s">
        <v>16</v>
      </c>
      <c r="D1003" s="2" t="s">
        <v>3265</v>
      </c>
      <c r="E1003" s="2" t="s">
        <v>64</v>
      </c>
      <c r="F1003" s="2" t="s">
        <v>71</v>
      </c>
      <c r="G1003" s="2" t="s">
        <v>72</v>
      </c>
      <c r="H1003" s="2" t="s">
        <v>72</v>
      </c>
      <c r="I1003" s="2" t="s">
        <v>30</v>
      </c>
      <c r="J1003" s="2" t="s">
        <v>3266</v>
      </c>
      <c r="K1003" s="2" t="str">
        <f>"1"</f>
        <v>1</v>
      </c>
      <c r="L1003" s="2" t="str">
        <f>""</f>
        <v/>
      </c>
      <c r="M1003" s="2" t="str">
        <f>"55-220"</f>
        <v>55-220</v>
      </c>
      <c r="N1003" s="2" t="str">
        <f>"713181397"</f>
        <v>713181397</v>
      </c>
      <c r="O1003" s="2" t="s">
        <v>3267</v>
      </c>
      <c r="P1003" s="2" t="s">
        <v>121</v>
      </c>
    </row>
    <row r="1004" spans="1:16" x14ac:dyDescent="0.25">
      <c r="A1004" s="2">
        <v>23871</v>
      </c>
      <c r="B1004" s="2" t="str">
        <f>"810488747"</f>
        <v>810488747</v>
      </c>
      <c r="C1004" s="2" t="s">
        <v>16</v>
      </c>
      <c r="D1004" s="2" t="s">
        <v>3269</v>
      </c>
      <c r="E1004" s="2" t="s">
        <v>34</v>
      </c>
      <c r="F1004" s="2" t="s">
        <v>2592</v>
      </c>
      <c r="G1004" s="2" t="s">
        <v>2595</v>
      </c>
      <c r="H1004" s="2" t="s">
        <v>2595</v>
      </c>
      <c r="I1004" s="2" t="s">
        <v>30</v>
      </c>
      <c r="J1004" s="2" t="s">
        <v>3270</v>
      </c>
      <c r="K1004" s="2" t="str">
        <f>"7b"</f>
        <v>7b</v>
      </c>
      <c r="L1004" s="2" t="str">
        <f>""</f>
        <v/>
      </c>
      <c r="M1004" s="2" t="str">
        <f>"72-400"</f>
        <v>72-400</v>
      </c>
      <c r="N1004" s="2" t="str">
        <f>"913820773"</f>
        <v>913820773</v>
      </c>
      <c r="O1004" s="2" t="s">
        <v>3271</v>
      </c>
      <c r="P1004" s="2" t="s">
        <v>121</v>
      </c>
    </row>
    <row r="1005" spans="1:16" x14ac:dyDescent="0.25">
      <c r="A1005" s="2">
        <v>40928</v>
      </c>
      <c r="B1005" s="2" t="str">
        <f>"000957867"</f>
        <v>000957867</v>
      </c>
      <c r="C1005" s="2" t="s">
        <v>16</v>
      </c>
      <c r="D1005" s="2" t="s">
        <v>3272</v>
      </c>
      <c r="E1005" s="2" t="s">
        <v>80</v>
      </c>
      <c r="F1005" s="2" t="s">
        <v>567</v>
      </c>
      <c r="G1005" s="2" t="s">
        <v>568</v>
      </c>
      <c r="H1005" s="2" t="s">
        <v>568</v>
      </c>
      <c r="I1005" s="2" t="s">
        <v>30</v>
      </c>
      <c r="J1005" s="2" t="s">
        <v>1124</v>
      </c>
      <c r="K1005" s="2" t="str">
        <f>"17"</f>
        <v>17</v>
      </c>
      <c r="L1005" s="2" t="str">
        <f>""</f>
        <v/>
      </c>
      <c r="M1005" s="2" t="str">
        <f>"83-300"</f>
        <v>83-300</v>
      </c>
      <c r="N1005" s="2" t="str">
        <f>"587366374"</f>
        <v>587366374</v>
      </c>
      <c r="O1005" s="2" t="s">
        <v>3273</v>
      </c>
      <c r="P1005" s="2" t="s">
        <v>121</v>
      </c>
    </row>
    <row r="1006" spans="1:16" x14ac:dyDescent="0.25">
      <c r="A1006" s="2">
        <v>46568</v>
      </c>
      <c r="B1006" s="2" t="str">
        <f>"001014240"</f>
        <v>001014240</v>
      </c>
      <c r="C1006" s="2" t="s">
        <v>16</v>
      </c>
      <c r="D1006" s="2" t="s">
        <v>3274</v>
      </c>
      <c r="E1006" s="2" t="s">
        <v>74</v>
      </c>
      <c r="F1006" s="2" t="s">
        <v>3275</v>
      </c>
      <c r="G1006" s="2" t="s">
        <v>3276</v>
      </c>
      <c r="H1006" s="2" t="s">
        <v>3276</v>
      </c>
      <c r="I1006" s="2" t="s">
        <v>30</v>
      </c>
      <c r="J1006" s="2" t="s">
        <v>1193</v>
      </c>
      <c r="K1006" s="2" t="str">
        <f>"29"</f>
        <v>29</v>
      </c>
      <c r="L1006" s="2" t="str">
        <f>""</f>
        <v/>
      </c>
      <c r="M1006" s="2" t="str">
        <f>"28-500"</f>
        <v>28-500</v>
      </c>
      <c r="N1006" s="2" t="str">
        <f>"413521349"</f>
        <v>413521349</v>
      </c>
      <c r="O1006" s="2" t="s">
        <v>3277</v>
      </c>
      <c r="P1006" s="2" t="s">
        <v>121</v>
      </c>
    </row>
    <row r="1007" spans="1:16" x14ac:dyDescent="0.25">
      <c r="A1007" s="2">
        <v>13355</v>
      </c>
      <c r="B1007" s="2" t="str">
        <f>"000693747"</f>
        <v>000693747</v>
      </c>
      <c r="C1007" s="2" t="s">
        <v>16</v>
      </c>
      <c r="D1007" s="2" t="s">
        <v>3278</v>
      </c>
      <c r="E1007" s="2" t="s">
        <v>157</v>
      </c>
      <c r="F1007" s="2" t="s">
        <v>1880</v>
      </c>
      <c r="G1007" s="2" t="s">
        <v>1881</v>
      </c>
      <c r="H1007" s="2" t="s">
        <v>1881</v>
      </c>
      <c r="I1007" s="2" t="s">
        <v>30</v>
      </c>
      <c r="J1007" s="2" t="s">
        <v>3279</v>
      </c>
      <c r="K1007" s="2" t="str">
        <f>"26"</f>
        <v>26</v>
      </c>
      <c r="L1007" s="2" t="str">
        <f>""</f>
        <v/>
      </c>
      <c r="M1007" s="2" t="str">
        <f>"63-600"</f>
        <v>63-600</v>
      </c>
      <c r="N1007" s="2" t="str">
        <f>"627824811"</f>
        <v>627824811</v>
      </c>
      <c r="O1007" s="2" t="s">
        <v>3280</v>
      </c>
      <c r="P1007" s="2" t="s">
        <v>121</v>
      </c>
    </row>
    <row r="1008" spans="1:16" x14ac:dyDescent="0.25">
      <c r="A1008" s="2">
        <v>3038</v>
      </c>
      <c r="B1008" s="2" t="str">
        <f>"000831050"</f>
        <v>000831050</v>
      </c>
      <c r="C1008" s="2" t="s">
        <v>16</v>
      </c>
      <c r="D1008" s="2" t="s">
        <v>3281</v>
      </c>
      <c r="E1008" s="2" t="s">
        <v>27</v>
      </c>
      <c r="F1008" s="2" t="s">
        <v>3108</v>
      </c>
      <c r="G1008" s="2" t="s">
        <v>3282</v>
      </c>
      <c r="H1008" s="2" t="s">
        <v>3282</v>
      </c>
      <c r="I1008" s="2" t="s">
        <v>30</v>
      </c>
      <c r="J1008" s="2" t="s">
        <v>1696</v>
      </c>
      <c r="K1008" s="2" t="str">
        <f>"27a"</f>
        <v>27a</v>
      </c>
      <c r="L1008" s="2" t="str">
        <f>""</f>
        <v/>
      </c>
      <c r="M1008" s="2" t="str">
        <f>"32-650"</f>
        <v>32-650</v>
      </c>
      <c r="N1008" s="2" t="str">
        <f>"338452304"</f>
        <v>338452304</v>
      </c>
      <c r="O1008" s="2" t="s">
        <v>3283</v>
      </c>
      <c r="P1008" s="2" t="s">
        <v>121</v>
      </c>
    </row>
    <row r="1009" spans="1:16" x14ac:dyDescent="0.25">
      <c r="A1009" s="2">
        <v>17739</v>
      </c>
      <c r="B1009" s="2" t="str">
        <f>"631576668"</f>
        <v>631576668</v>
      </c>
      <c r="C1009" s="2" t="s">
        <v>16</v>
      </c>
      <c r="D1009" s="2" t="s">
        <v>3284</v>
      </c>
      <c r="E1009" s="2" t="s">
        <v>157</v>
      </c>
      <c r="F1009" s="2" t="s">
        <v>1155</v>
      </c>
      <c r="G1009" s="2" t="s">
        <v>3285</v>
      </c>
      <c r="H1009" s="2" t="s">
        <v>3285</v>
      </c>
      <c r="I1009" s="2" t="s">
        <v>30</v>
      </c>
      <c r="J1009" s="2" t="s">
        <v>2286</v>
      </c>
      <c r="K1009" s="2" t="str">
        <f>"25"</f>
        <v>25</v>
      </c>
      <c r="L1009" s="2" t="str">
        <f>""</f>
        <v/>
      </c>
      <c r="M1009" s="2" t="str">
        <f>"62-270"</f>
        <v>62-270</v>
      </c>
      <c r="N1009" s="2" t="str">
        <f>"614240783"</f>
        <v>614240783</v>
      </c>
      <c r="O1009" s="2" t="s">
        <v>3286</v>
      </c>
      <c r="P1009" s="2" t="s">
        <v>121</v>
      </c>
    </row>
    <row r="1010" spans="1:16" x14ac:dyDescent="0.25">
      <c r="A1010" s="2">
        <v>26122</v>
      </c>
      <c r="B1010" s="2" t="str">
        <f>"000743310"</f>
        <v>000743310</v>
      </c>
      <c r="C1010" s="2" t="s">
        <v>16</v>
      </c>
      <c r="D1010" s="2" t="s">
        <v>3287</v>
      </c>
      <c r="E1010" s="2" t="s">
        <v>416</v>
      </c>
      <c r="F1010" s="2" t="s">
        <v>3288</v>
      </c>
      <c r="G1010" s="2" t="s">
        <v>3289</v>
      </c>
      <c r="H1010" s="2" t="s">
        <v>3289</v>
      </c>
      <c r="I1010" s="2" t="s">
        <v>30</v>
      </c>
      <c r="J1010" s="2" t="s">
        <v>3279</v>
      </c>
      <c r="K1010" s="2" t="str">
        <f>"20B"</f>
        <v>20B</v>
      </c>
      <c r="L1010" s="2" t="str">
        <f>""</f>
        <v/>
      </c>
      <c r="M1010" s="2" t="str">
        <f>"46-200"</f>
        <v>46-200</v>
      </c>
      <c r="N1010" s="2" t="str">
        <f>"774181263"</f>
        <v>774181263</v>
      </c>
      <c r="O1010" s="2" t="s">
        <v>3290</v>
      </c>
      <c r="P1010" s="2" t="s">
        <v>121</v>
      </c>
    </row>
    <row r="1011" spans="1:16" x14ac:dyDescent="0.25">
      <c r="A1011" s="2">
        <v>17312</v>
      </c>
      <c r="B1011" s="2" t="str">
        <f>"000727251"</f>
        <v>000727251</v>
      </c>
      <c r="C1011" s="2" t="s">
        <v>16</v>
      </c>
      <c r="D1011" s="2" t="s">
        <v>3291</v>
      </c>
      <c r="E1011" s="2" t="s">
        <v>117</v>
      </c>
      <c r="F1011" s="2" t="s">
        <v>2048</v>
      </c>
      <c r="G1011" s="2" t="s">
        <v>2049</v>
      </c>
      <c r="H1011" s="2" t="s">
        <v>2049</v>
      </c>
      <c r="I1011" s="2" t="s">
        <v>30</v>
      </c>
      <c r="J1011" s="2" t="s">
        <v>3292</v>
      </c>
      <c r="K1011" s="2" t="str">
        <f>"5a"</f>
        <v>5a</v>
      </c>
      <c r="L1011" s="2" t="str">
        <f>""</f>
        <v/>
      </c>
      <c r="M1011" s="2" t="str">
        <f>"44-194"</f>
        <v>44-194</v>
      </c>
      <c r="N1011" s="2" t="str">
        <f>"322351476"</f>
        <v>322351476</v>
      </c>
      <c r="O1011" s="2" t="s">
        <v>3293</v>
      </c>
      <c r="P1011" s="2" t="s">
        <v>121</v>
      </c>
    </row>
    <row r="1012" spans="1:16" x14ac:dyDescent="0.25">
      <c r="A1012" s="2">
        <v>16434</v>
      </c>
      <c r="B1012" s="2" t="str">
        <f>"001030173"</f>
        <v>001030173</v>
      </c>
      <c r="C1012" s="2" t="s">
        <v>16</v>
      </c>
      <c r="D1012" s="2" t="s">
        <v>3294</v>
      </c>
      <c r="E1012" s="2" t="s">
        <v>101</v>
      </c>
      <c r="F1012" s="2" t="s">
        <v>3295</v>
      </c>
      <c r="G1012" s="2" t="s">
        <v>3296</v>
      </c>
      <c r="H1012" s="2" t="s">
        <v>3296</v>
      </c>
      <c r="I1012" s="2" t="s">
        <v>30</v>
      </c>
      <c r="J1012" s="2" t="s">
        <v>3297</v>
      </c>
      <c r="K1012" s="2" t="str">
        <f>"10"</f>
        <v>10</v>
      </c>
      <c r="L1012" s="2" t="str">
        <f>""</f>
        <v/>
      </c>
      <c r="M1012" s="2" t="str">
        <f>"36-100"</f>
        <v>36-100</v>
      </c>
      <c r="N1012" s="2" t="str">
        <f>"172271156"</f>
        <v>172271156</v>
      </c>
      <c r="O1012" s="2" t="s">
        <v>3298</v>
      </c>
      <c r="P1012" s="2" t="s">
        <v>121</v>
      </c>
    </row>
    <row r="1013" spans="1:16" x14ac:dyDescent="0.25">
      <c r="A1013" s="2">
        <v>21510</v>
      </c>
      <c r="B1013" s="2" t="str">
        <f>"000833310"</f>
        <v>000833310</v>
      </c>
      <c r="C1013" s="2" t="s">
        <v>16</v>
      </c>
      <c r="D1013" s="2" t="s">
        <v>3299</v>
      </c>
      <c r="E1013" s="2" t="s">
        <v>97</v>
      </c>
      <c r="F1013" s="2" t="s">
        <v>3300</v>
      </c>
      <c r="G1013" s="2" t="s">
        <v>3301</v>
      </c>
      <c r="H1013" s="2" t="s">
        <v>3301</v>
      </c>
      <c r="I1013" s="2" t="s">
        <v>30</v>
      </c>
      <c r="J1013" s="2" t="s">
        <v>57</v>
      </c>
      <c r="K1013" s="2" t="str">
        <f>"1"</f>
        <v>1</v>
      </c>
      <c r="L1013" s="2" t="str">
        <f>""</f>
        <v/>
      </c>
      <c r="M1013" s="2" t="str">
        <f>"18-500"</f>
        <v>18-500</v>
      </c>
      <c r="N1013" s="2" t="str">
        <f>"862782181"</f>
        <v>862782181</v>
      </c>
      <c r="O1013" s="2" t="s">
        <v>3302</v>
      </c>
      <c r="P1013" s="2" t="s">
        <v>121</v>
      </c>
    </row>
    <row r="1014" spans="1:16" x14ac:dyDescent="0.25">
      <c r="A1014" s="2">
        <v>17433</v>
      </c>
      <c r="B1014" s="2" t="str">
        <f>"001045855"</f>
        <v>001045855</v>
      </c>
      <c r="C1014" s="2" t="s">
        <v>16</v>
      </c>
      <c r="D1014" s="2" t="s">
        <v>3303</v>
      </c>
      <c r="E1014" s="2" t="s">
        <v>39</v>
      </c>
      <c r="F1014" s="2" t="s">
        <v>55</v>
      </c>
      <c r="G1014" s="2" t="s">
        <v>56</v>
      </c>
      <c r="H1014" s="2" t="s">
        <v>56</v>
      </c>
      <c r="I1014" s="2" t="s">
        <v>30</v>
      </c>
      <c r="J1014" s="2" t="s">
        <v>3304</v>
      </c>
      <c r="K1014" s="2" t="str">
        <f>"5"</f>
        <v>5</v>
      </c>
      <c r="L1014" s="2" t="str">
        <f>""</f>
        <v/>
      </c>
      <c r="M1014" s="2" t="str">
        <f>"95-040"</f>
        <v>95-040</v>
      </c>
      <c r="N1014" s="2" t="str">
        <f>"447141454"</f>
        <v>447141454</v>
      </c>
      <c r="O1014" s="2" t="s">
        <v>3305</v>
      </c>
      <c r="P1014" s="2" t="s">
        <v>121</v>
      </c>
    </row>
    <row r="1015" spans="1:16" x14ac:dyDescent="0.25">
      <c r="A1015" s="2">
        <v>5435</v>
      </c>
      <c r="B1015" s="2" t="str">
        <f>"292376090"</f>
        <v>292376090</v>
      </c>
      <c r="C1015" s="2" t="s">
        <v>16</v>
      </c>
      <c r="D1015" s="2" t="s">
        <v>3306</v>
      </c>
      <c r="E1015" s="2" t="s">
        <v>74</v>
      </c>
      <c r="F1015" s="2" t="s">
        <v>3307</v>
      </c>
      <c r="G1015" s="2" t="s">
        <v>3308</v>
      </c>
      <c r="H1015" s="2" t="s">
        <v>3308</v>
      </c>
      <c r="I1015" s="2" t="s">
        <v>30</v>
      </c>
      <c r="J1015" s="2" t="s">
        <v>3029</v>
      </c>
      <c r="K1015" s="2" t="str">
        <f>"38"</f>
        <v>38</v>
      </c>
      <c r="L1015" s="2" t="str">
        <f>""</f>
        <v/>
      </c>
      <c r="M1015" s="2" t="str">
        <f>"26-200"</f>
        <v>26-200</v>
      </c>
      <c r="N1015" s="2" t="str">
        <f>"413723400"</f>
        <v>413723400</v>
      </c>
      <c r="O1015" s="2" t="s">
        <v>3309</v>
      </c>
      <c r="P1015" s="2" t="s">
        <v>121</v>
      </c>
    </row>
    <row r="1016" spans="1:16" x14ac:dyDescent="0.25">
      <c r="A1016" s="2">
        <v>16473</v>
      </c>
      <c r="B1016" s="2" t="str">
        <f>"472914786"</f>
        <v>472914786</v>
      </c>
      <c r="C1016" s="2" t="s">
        <v>16</v>
      </c>
      <c r="D1016" s="2" t="s">
        <v>3310</v>
      </c>
      <c r="E1016" s="2" t="s">
        <v>39</v>
      </c>
      <c r="F1016" s="2" t="s">
        <v>462</v>
      </c>
      <c r="G1016" s="2" t="s">
        <v>3311</v>
      </c>
      <c r="H1016" s="2" t="s">
        <v>3311</v>
      </c>
      <c r="I1016" s="2" t="s">
        <v>30</v>
      </c>
      <c r="J1016" s="2" t="s">
        <v>1255</v>
      </c>
      <c r="K1016" s="2" t="str">
        <f>"44"</f>
        <v>44</v>
      </c>
      <c r="L1016" s="2" t="str">
        <f>""</f>
        <v/>
      </c>
      <c r="M1016" s="2" t="str">
        <f>"95-050"</f>
        <v>95-050</v>
      </c>
      <c r="N1016" s="2" t="str">
        <f>"422111248"</f>
        <v>422111248</v>
      </c>
      <c r="O1016" s="2" t="s">
        <v>3312</v>
      </c>
      <c r="P1016" s="2" t="s">
        <v>121</v>
      </c>
    </row>
    <row r="1017" spans="1:16" x14ac:dyDescent="0.25">
      <c r="A1017" s="2">
        <v>26937</v>
      </c>
      <c r="B1017" s="2" t="str">
        <f>"210203404"</f>
        <v>210203404</v>
      </c>
      <c r="C1017" s="2" t="s">
        <v>16</v>
      </c>
      <c r="D1017" s="2" t="s">
        <v>3313</v>
      </c>
      <c r="E1017" s="2" t="s">
        <v>240</v>
      </c>
      <c r="F1017" s="2" t="s">
        <v>241</v>
      </c>
      <c r="G1017" s="2" t="s">
        <v>242</v>
      </c>
      <c r="H1017" s="2" t="s">
        <v>242</v>
      </c>
      <c r="I1017" s="2" t="s">
        <v>30</v>
      </c>
      <c r="J1017" s="2" t="s">
        <v>3314</v>
      </c>
      <c r="K1017" s="2" t="str">
        <f>"5"</f>
        <v>5</v>
      </c>
      <c r="L1017" s="2" t="str">
        <f>""</f>
        <v/>
      </c>
      <c r="M1017" s="2" t="str">
        <f>"66-470"</f>
        <v>66-470</v>
      </c>
      <c r="N1017" s="2" t="str">
        <f>"957522638"</f>
        <v>957522638</v>
      </c>
      <c r="O1017" s="2" t="s">
        <v>3315</v>
      </c>
      <c r="P1017" s="2" t="s">
        <v>121</v>
      </c>
    </row>
    <row r="1018" spans="1:16" x14ac:dyDescent="0.25">
      <c r="A1018" s="2">
        <v>23540</v>
      </c>
      <c r="B1018" s="2" t="str">
        <f>"671992045"</f>
        <v>671992045</v>
      </c>
      <c r="C1018" s="2" t="s">
        <v>16</v>
      </c>
      <c r="D1018" s="2" t="s">
        <v>3316</v>
      </c>
      <c r="E1018" s="2" t="s">
        <v>18</v>
      </c>
      <c r="F1018" s="2" t="s">
        <v>498</v>
      </c>
      <c r="G1018" s="2" t="s">
        <v>499</v>
      </c>
      <c r="H1018" s="2" t="s">
        <v>499</v>
      </c>
      <c r="I1018" s="2" t="s">
        <v>30</v>
      </c>
      <c r="J1018" s="2"/>
      <c r="K1018" s="2" t="str">
        <f>"8a"</f>
        <v>8a</v>
      </c>
      <c r="L1018" s="2" t="str">
        <f>""</f>
        <v/>
      </c>
      <c r="M1018" s="2" t="str">
        <f>"26-900"</f>
        <v>26-900</v>
      </c>
      <c r="N1018" s="2" t="str">
        <f>"486148936"</f>
        <v>486148936</v>
      </c>
      <c r="O1018" s="2" t="s">
        <v>3317</v>
      </c>
      <c r="P1018" s="2" t="s">
        <v>121</v>
      </c>
    </row>
    <row r="1019" spans="1:16" x14ac:dyDescent="0.25">
      <c r="A1019" s="2">
        <v>42498</v>
      </c>
      <c r="B1019" s="2" t="str">
        <f>"001061044"</f>
        <v>001061044</v>
      </c>
      <c r="C1019" s="2" t="s">
        <v>16</v>
      </c>
      <c r="D1019" s="2" t="s">
        <v>3318</v>
      </c>
      <c r="E1019" s="2" t="s">
        <v>157</v>
      </c>
      <c r="F1019" s="2" t="s">
        <v>3319</v>
      </c>
      <c r="G1019" s="2" t="s">
        <v>3320</v>
      </c>
      <c r="H1019" s="2" t="s">
        <v>3320</v>
      </c>
      <c r="I1019" s="2" t="s">
        <v>30</v>
      </c>
      <c r="J1019" s="2" t="s">
        <v>3321</v>
      </c>
      <c r="K1019" s="2" t="str">
        <f>"10"</f>
        <v>10</v>
      </c>
      <c r="L1019" s="2" t="str">
        <f>""</f>
        <v/>
      </c>
      <c r="M1019" s="2" t="str">
        <f>"63-700"</f>
        <v>63-700</v>
      </c>
      <c r="N1019" s="2" t="str">
        <f>"627252433"</f>
        <v>627252433</v>
      </c>
      <c r="O1019" s="2" t="s">
        <v>3322</v>
      </c>
      <c r="P1019" s="2" t="s">
        <v>121</v>
      </c>
    </row>
    <row r="1020" spans="1:16" x14ac:dyDescent="0.25">
      <c r="A1020" s="2">
        <v>106272</v>
      </c>
      <c r="B1020" s="2" t="str">
        <f>"351320402"</f>
        <v>351320402</v>
      </c>
      <c r="C1020" s="2" t="s">
        <v>16</v>
      </c>
      <c r="D1020" s="2" t="s">
        <v>3323</v>
      </c>
      <c r="E1020" s="2" t="s">
        <v>27</v>
      </c>
      <c r="F1020" s="2" t="s">
        <v>1892</v>
      </c>
      <c r="G1020" s="2" t="s">
        <v>3324</v>
      </c>
      <c r="H1020" s="2" t="s">
        <v>3324</v>
      </c>
      <c r="I1020" s="2" t="s">
        <v>30</v>
      </c>
      <c r="J1020" s="2" t="s">
        <v>579</v>
      </c>
      <c r="K1020" s="2" t="str">
        <f>"22"</f>
        <v>22</v>
      </c>
      <c r="L1020" s="2" t="str">
        <f>""</f>
        <v/>
      </c>
      <c r="M1020" s="2" t="str">
        <f>"32-065"</f>
        <v>32-065</v>
      </c>
      <c r="N1020" s="2" t="str">
        <f>"122820978"</f>
        <v>122820978</v>
      </c>
      <c r="O1020" s="2" t="s">
        <v>3325</v>
      </c>
      <c r="P1020" s="2" t="s">
        <v>121</v>
      </c>
    </row>
    <row r="1021" spans="1:16" x14ac:dyDescent="0.25">
      <c r="A1021" s="2">
        <v>55382</v>
      </c>
      <c r="B1021" s="2" t="str">
        <f>"001238784"</f>
        <v>001238784</v>
      </c>
      <c r="C1021" s="2" t="s">
        <v>16</v>
      </c>
      <c r="D1021" s="2" t="s">
        <v>3326</v>
      </c>
      <c r="E1021" s="2" t="s">
        <v>157</v>
      </c>
      <c r="F1021" s="2" t="s">
        <v>3145</v>
      </c>
      <c r="G1021" s="2" t="s">
        <v>3327</v>
      </c>
      <c r="H1021" s="2" t="s">
        <v>3327</v>
      </c>
      <c r="I1021" s="2" t="s">
        <v>30</v>
      </c>
      <c r="J1021" s="2" t="s">
        <v>628</v>
      </c>
      <c r="K1021" s="2" t="str">
        <f>"73"</f>
        <v>73</v>
      </c>
      <c r="L1021" s="2" t="str">
        <f>""</f>
        <v/>
      </c>
      <c r="M1021" s="2" t="str">
        <f>"64-761"</f>
        <v>64-761</v>
      </c>
      <c r="N1021" s="2" t="str">
        <f>"672565143"</f>
        <v>672565143</v>
      </c>
      <c r="O1021" s="2" t="s">
        <v>3328</v>
      </c>
      <c r="P1021" s="2" t="s">
        <v>121</v>
      </c>
    </row>
    <row r="1022" spans="1:16" x14ac:dyDescent="0.25">
      <c r="A1022" s="2">
        <v>21577</v>
      </c>
      <c r="B1022" s="2" t="str">
        <f>"000941837"</f>
        <v>000941837</v>
      </c>
      <c r="C1022" s="2" t="s">
        <v>16</v>
      </c>
      <c r="D1022" s="2" t="s">
        <v>3329</v>
      </c>
      <c r="E1022" s="2" t="s">
        <v>39</v>
      </c>
      <c r="F1022" s="2" t="s">
        <v>1853</v>
      </c>
      <c r="G1022" s="2" t="s">
        <v>1854</v>
      </c>
      <c r="H1022" s="2" t="s">
        <v>1854</v>
      </c>
      <c r="I1022" s="2" t="s">
        <v>30</v>
      </c>
      <c r="J1022" s="2" t="s">
        <v>509</v>
      </c>
      <c r="K1022" s="2" t="str">
        <f>"52"</f>
        <v>52</v>
      </c>
      <c r="L1022" s="2" t="str">
        <f>""</f>
        <v/>
      </c>
      <c r="M1022" s="2" t="str">
        <f>"99-300"</f>
        <v>99-300</v>
      </c>
      <c r="N1022" s="2" t="str">
        <f>"243557885"</f>
        <v>243557885</v>
      </c>
      <c r="O1022" s="2" t="s">
        <v>3330</v>
      </c>
      <c r="P1022" s="2" t="s">
        <v>121</v>
      </c>
    </row>
    <row r="1023" spans="1:16" x14ac:dyDescent="0.25">
      <c r="A1023" s="2">
        <v>52737</v>
      </c>
      <c r="B1023" s="2" t="str">
        <f>"001011678"</f>
        <v>001011678</v>
      </c>
      <c r="C1023" s="2" t="s">
        <v>16</v>
      </c>
      <c r="D1023" s="2" t="s">
        <v>3331</v>
      </c>
      <c r="E1023" s="2" t="s">
        <v>80</v>
      </c>
      <c r="F1023" s="2" t="s">
        <v>721</v>
      </c>
      <c r="G1023" s="2" t="s">
        <v>722</v>
      </c>
      <c r="H1023" s="2" t="s">
        <v>722</v>
      </c>
      <c r="I1023" s="2" t="s">
        <v>30</v>
      </c>
      <c r="J1023" s="2" t="s">
        <v>3332</v>
      </c>
      <c r="K1023" s="2" t="str">
        <f>"8"</f>
        <v>8</v>
      </c>
      <c r="L1023" s="2" t="str">
        <f>""</f>
        <v/>
      </c>
      <c r="M1023" s="2" t="str">
        <f>"82-500"</f>
        <v>82-500</v>
      </c>
      <c r="N1023" s="2" t="str">
        <f>"552792119"</f>
        <v>552792119</v>
      </c>
      <c r="O1023" s="2" t="s">
        <v>3333</v>
      </c>
      <c r="P1023" s="2" t="s">
        <v>121</v>
      </c>
    </row>
    <row r="1024" spans="1:16" x14ac:dyDescent="0.25">
      <c r="A1024" s="2">
        <v>114552</v>
      </c>
      <c r="B1024" s="2" t="str">
        <f>"00101167800021"</f>
        <v>00101167800021</v>
      </c>
      <c r="C1024" s="2" t="s">
        <v>16</v>
      </c>
      <c r="D1024" s="2" t="s">
        <v>3334</v>
      </c>
      <c r="E1024" s="2" t="s">
        <v>80</v>
      </c>
      <c r="F1024" s="2" t="s">
        <v>721</v>
      </c>
      <c r="G1024" s="2" t="s">
        <v>3335</v>
      </c>
      <c r="H1024" s="2" t="s">
        <v>3335</v>
      </c>
      <c r="I1024" s="2" t="s">
        <v>30</v>
      </c>
      <c r="J1024" s="2" t="s">
        <v>3336</v>
      </c>
      <c r="K1024" s="2" t="str">
        <f>"1"</f>
        <v>1</v>
      </c>
      <c r="L1024" s="2" t="str">
        <f>""</f>
        <v/>
      </c>
      <c r="M1024" s="2" t="str">
        <f>"82-550"</f>
        <v>82-550</v>
      </c>
      <c r="N1024" s="2" t="str">
        <f>"552782116"</f>
        <v>552782116</v>
      </c>
      <c r="O1024" s="2" t="s">
        <v>3337</v>
      </c>
      <c r="P1024" s="2" t="s">
        <v>121</v>
      </c>
    </row>
    <row r="1025" spans="1:16" x14ac:dyDescent="0.25">
      <c r="A1025" s="2">
        <v>35161</v>
      </c>
      <c r="B1025" s="2" t="str">
        <f>"000734541"</f>
        <v>000734541</v>
      </c>
      <c r="C1025" s="2" t="s">
        <v>16</v>
      </c>
      <c r="D1025" s="2" t="s">
        <v>3338</v>
      </c>
      <c r="E1025" s="2" t="s">
        <v>97</v>
      </c>
      <c r="F1025" s="2" t="s">
        <v>517</v>
      </c>
      <c r="G1025" s="2" t="s">
        <v>3339</v>
      </c>
      <c r="H1025" s="2" t="s">
        <v>3339</v>
      </c>
      <c r="I1025" s="2" t="s">
        <v>30</v>
      </c>
      <c r="J1025" s="2" t="s">
        <v>3340</v>
      </c>
      <c r="K1025" s="2" t="str">
        <f>"8"</f>
        <v>8</v>
      </c>
      <c r="L1025" s="2" t="str">
        <f>""</f>
        <v/>
      </c>
      <c r="M1025" s="2" t="str">
        <f>"18-100"</f>
        <v>18-100</v>
      </c>
      <c r="N1025" s="2" t="str">
        <f>"857152334"</f>
        <v>857152334</v>
      </c>
      <c r="O1025" s="2" t="s">
        <v>3341</v>
      </c>
      <c r="P1025" s="2" t="s">
        <v>121</v>
      </c>
    </row>
    <row r="1026" spans="1:16" x14ac:dyDescent="0.25">
      <c r="A1026" s="2">
        <v>50364</v>
      </c>
      <c r="B1026" s="2" t="str">
        <f>"430411233"</f>
        <v>430411233</v>
      </c>
      <c r="C1026" s="2" t="s">
        <v>16</v>
      </c>
      <c r="D1026" s="2" t="s">
        <v>3342</v>
      </c>
      <c r="E1026" s="2" t="s">
        <v>112</v>
      </c>
      <c r="F1026" s="2" t="s">
        <v>3343</v>
      </c>
      <c r="G1026" s="2" t="s">
        <v>3344</v>
      </c>
      <c r="H1026" s="2" t="s">
        <v>3344</v>
      </c>
      <c r="I1026" s="2" t="s">
        <v>30</v>
      </c>
      <c r="J1026" s="2" t="s">
        <v>3345</v>
      </c>
      <c r="K1026" s="2" t="str">
        <f>"95"</f>
        <v>95</v>
      </c>
      <c r="L1026" s="2" t="str">
        <f>""</f>
        <v/>
      </c>
      <c r="M1026" s="2" t="str">
        <f>"21-010"</f>
        <v>21-010</v>
      </c>
      <c r="N1026" s="2" t="str">
        <f>"815315337"</f>
        <v>815315337</v>
      </c>
      <c r="O1026" s="2" t="s">
        <v>3346</v>
      </c>
      <c r="P1026" s="2" t="s">
        <v>121</v>
      </c>
    </row>
    <row r="1027" spans="1:16" x14ac:dyDescent="0.25">
      <c r="A1027" s="2">
        <v>43667</v>
      </c>
      <c r="B1027" s="2" t="str">
        <f>"410026781"</f>
        <v>410026781</v>
      </c>
      <c r="C1027" s="2" t="s">
        <v>16</v>
      </c>
      <c r="D1027" s="2" t="s">
        <v>3347</v>
      </c>
      <c r="E1027" s="2" t="s">
        <v>157</v>
      </c>
      <c r="F1027" s="2" t="s">
        <v>3348</v>
      </c>
      <c r="G1027" s="2" t="s">
        <v>3348</v>
      </c>
      <c r="H1027" s="2" t="s">
        <v>3348</v>
      </c>
      <c r="I1027" s="2" t="s">
        <v>30</v>
      </c>
      <c r="J1027" s="2" t="s">
        <v>544</v>
      </c>
      <c r="K1027" s="2" t="str">
        <f>"15"</f>
        <v>15</v>
      </c>
      <c r="L1027" s="2" t="str">
        <f>""</f>
        <v/>
      </c>
      <c r="M1027" s="2" t="str">
        <f>"64-100"</f>
        <v>64-100</v>
      </c>
      <c r="N1027" s="2" t="str">
        <f>"655293035"</f>
        <v>655293035</v>
      </c>
      <c r="O1027" s="2" t="s">
        <v>3349</v>
      </c>
      <c r="P1027" s="2" t="s">
        <v>121</v>
      </c>
    </row>
    <row r="1028" spans="1:16" x14ac:dyDescent="0.25">
      <c r="A1028" s="2">
        <v>15070</v>
      </c>
      <c r="B1028" s="2" t="str">
        <f>"001058421"</f>
        <v>001058421</v>
      </c>
      <c r="C1028" s="2" t="s">
        <v>16</v>
      </c>
      <c r="D1028" s="2" t="s">
        <v>3350</v>
      </c>
      <c r="E1028" s="2" t="s">
        <v>181</v>
      </c>
      <c r="F1028" s="2" t="s">
        <v>3351</v>
      </c>
      <c r="G1028" s="2" t="s">
        <v>3352</v>
      </c>
      <c r="H1028" s="2" t="s">
        <v>3352</v>
      </c>
      <c r="I1028" s="2" t="s">
        <v>30</v>
      </c>
      <c r="J1028" s="2" t="s">
        <v>3353</v>
      </c>
      <c r="K1028" s="2" t="str">
        <f>"9"</f>
        <v>9</v>
      </c>
      <c r="L1028" s="2" t="str">
        <f>""</f>
        <v/>
      </c>
      <c r="M1028" s="2" t="str">
        <f>"87-600"</f>
        <v>87-600</v>
      </c>
      <c r="N1028" s="2" t="str">
        <f>"542872492"</f>
        <v>542872492</v>
      </c>
      <c r="O1028" s="2" t="s">
        <v>3354</v>
      </c>
      <c r="P1028" s="2" t="s">
        <v>121</v>
      </c>
    </row>
    <row r="1029" spans="1:16" x14ac:dyDescent="0.25">
      <c r="A1029" s="2">
        <v>18479</v>
      </c>
      <c r="B1029" s="2" t="str">
        <f>"671977169"</f>
        <v>671977169</v>
      </c>
      <c r="C1029" s="2" t="s">
        <v>16</v>
      </c>
      <c r="D1029" s="2" t="s">
        <v>3355</v>
      </c>
      <c r="E1029" s="2" t="s">
        <v>18</v>
      </c>
      <c r="F1029" s="2" t="s">
        <v>3356</v>
      </c>
      <c r="G1029" s="2" t="s">
        <v>3357</v>
      </c>
      <c r="H1029" s="2" t="s">
        <v>3357</v>
      </c>
      <c r="I1029" s="2" t="s">
        <v>30</v>
      </c>
      <c r="J1029" s="2" t="s">
        <v>3358</v>
      </c>
      <c r="K1029" s="2" t="str">
        <f>"12"</f>
        <v>12</v>
      </c>
      <c r="L1029" s="2" t="str">
        <f>""</f>
        <v/>
      </c>
      <c r="M1029" s="2" t="str">
        <f>"27-300"</f>
        <v>27-300</v>
      </c>
      <c r="N1029" s="2" t="str">
        <f>"483780158"</f>
        <v>483780158</v>
      </c>
      <c r="O1029" s="2" t="s">
        <v>3359</v>
      </c>
      <c r="P1029" s="2" t="s">
        <v>121</v>
      </c>
    </row>
    <row r="1030" spans="1:16" x14ac:dyDescent="0.25">
      <c r="A1030" s="2">
        <v>25611</v>
      </c>
      <c r="B1030" s="2" t="str">
        <f>"000739478"</f>
        <v>000739478</v>
      </c>
      <c r="C1030" s="2" t="s">
        <v>16</v>
      </c>
      <c r="D1030" s="2" t="s">
        <v>3360</v>
      </c>
      <c r="E1030" s="2" t="s">
        <v>39</v>
      </c>
      <c r="F1030" s="2" t="s">
        <v>3361</v>
      </c>
      <c r="G1030" s="2" t="s">
        <v>3362</v>
      </c>
      <c r="H1030" s="2" t="s">
        <v>3362</v>
      </c>
      <c r="I1030" s="2" t="s">
        <v>30</v>
      </c>
      <c r="J1030" s="2" t="s">
        <v>444</v>
      </c>
      <c r="K1030" s="2" t="str">
        <f>"6"</f>
        <v>6</v>
      </c>
      <c r="L1030" s="2" t="str">
        <f>""</f>
        <v/>
      </c>
      <c r="M1030" s="2" t="str">
        <f>"99-400"</f>
        <v>99-400</v>
      </c>
      <c r="N1030" s="2" t="str">
        <f>"468374271"</f>
        <v>468374271</v>
      </c>
      <c r="O1030" s="2" t="s">
        <v>3363</v>
      </c>
      <c r="P1030" s="2" t="s">
        <v>121</v>
      </c>
    </row>
    <row r="1031" spans="1:16" x14ac:dyDescent="0.25">
      <c r="A1031" s="2">
        <v>70664</v>
      </c>
      <c r="B1031" s="2" t="str">
        <f>"001057249"</f>
        <v>001057249</v>
      </c>
      <c r="C1031" s="2" t="s">
        <v>16</v>
      </c>
      <c r="D1031" s="2" t="s">
        <v>3364</v>
      </c>
      <c r="E1031" s="2" t="s">
        <v>101</v>
      </c>
      <c r="F1031" s="2" t="s">
        <v>3365</v>
      </c>
      <c r="G1031" s="2" t="s">
        <v>3366</v>
      </c>
      <c r="H1031" s="2" t="s">
        <v>3366</v>
      </c>
      <c r="I1031" s="2" t="s">
        <v>30</v>
      </c>
      <c r="J1031" s="2" t="s">
        <v>138</v>
      </c>
      <c r="K1031" s="2" t="str">
        <f>"45"</f>
        <v>45</v>
      </c>
      <c r="L1031" s="2" t="str">
        <f>""</f>
        <v/>
      </c>
      <c r="M1031" s="2" t="str">
        <f>"37-600"</f>
        <v>37-600</v>
      </c>
      <c r="N1031" s="2" t="str">
        <f>"0166321378"</f>
        <v>0166321378</v>
      </c>
      <c r="O1031" s="2" t="s">
        <v>3367</v>
      </c>
      <c r="P1031" s="2" t="s">
        <v>121</v>
      </c>
    </row>
    <row r="1032" spans="1:16" x14ac:dyDescent="0.25">
      <c r="A1032" s="2">
        <v>11446</v>
      </c>
      <c r="B1032" s="2" t="str">
        <f>"230919110"</f>
        <v>230919110</v>
      </c>
      <c r="C1032" s="2" t="s">
        <v>16</v>
      </c>
      <c r="D1032" s="2" t="s">
        <v>3368</v>
      </c>
      <c r="E1032" s="2" t="s">
        <v>64</v>
      </c>
      <c r="F1032" s="2" t="s">
        <v>3369</v>
      </c>
      <c r="G1032" s="2" t="s">
        <v>3370</v>
      </c>
      <c r="H1032" s="2" t="s">
        <v>3370</v>
      </c>
      <c r="I1032" s="2" t="s">
        <v>30</v>
      </c>
      <c r="J1032" s="2" t="s">
        <v>3371</v>
      </c>
      <c r="K1032" s="2" t="str">
        <f>"2"</f>
        <v>2</v>
      </c>
      <c r="L1032" s="2" t="str">
        <f>""</f>
        <v/>
      </c>
      <c r="M1032" s="2" t="str">
        <f>"59-800"</f>
        <v>59-800</v>
      </c>
      <c r="N1032" s="2" t="str">
        <f>"756465110"</f>
        <v>756465110</v>
      </c>
      <c r="O1032" s="2" t="s">
        <v>3372</v>
      </c>
      <c r="P1032" s="2" t="s">
        <v>121</v>
      </c>
    </row>
    <row r="1033" spans="1:16" x14ac:dyDescent="0.25">
      <c r="A1033" s="2">
        <v>12788</v>
      </c>
      <c r="B1033" s="2" t="str">
        <f>"020124790"</f>
        <v>020124790</v>
      </c>
      <c r="C1033" s="2" t="s">
        <v>16</v>
      </c>
      <c r="D1033" s="2" t="s">
        <v>3373</v>
      </c>
      <c r="E1033" s="2" t="s">
        <v>64</v>
      </c>
      <c r="F1033" s="2" t="s">
        <v>208</v>
      </c>
      <c r="G1033" s="2" t="s">
        <v>209</v>
      </c>
      <c r="H1033" s="2" t="s">
        <v>209</v>
      </c>
      <c r="I1033" s="2" t="s">
        <v>30</v>
      </c>
      <c r="J1033" s="2" t="s">
        <v>3374</v>
      </c>
      <c r="K1033" s="2" t="str">
        <f>"6a"</f>
        <v>6a</v>
      </c>
      <c r="L1033" s="2" t="str">
        <f>""</f>
        <v/>
      </c>
      <c r="M1033" s="2" t="str">
        <f>"59-300"</f>
        <v>59-300</v>
      </c>
      <c r="N1033" s="2" t="str">
        <f>"781700190"</f>
        <v>781700190</v>
      </c>
      <c r="O1033" s="2" t="s">
        <v>3375</v>
      </c>
      <c r="P1033" s="2" t="s">
        <v>121</v>
      </c>
    </row>
    <row r="1034" spans="1:16" x14ac:dyDescent="0.25">
      <c r="A1034" s="2">
        <v>71557</v>
      </c>
      <c r="B1034" s="2" t="str">
        <f>"639694960"</f>
        <v>639694960</v>
      </c>
      <c r="C1034" s="2" t="s">
        <v>16</v>
      </c>
      <c r="D1034" s="2" t="s">
        <v>293</v>
      </c>
      <c r="E1034" s="2" t="s">
        <v>157</v>
      </c>
      <c r="F1034" s="2" t="s">
        <v>162</v>
      </c>
      <c r="G1034" s="2" t="s">
        <v>3376</v>
      </c>
      <c r="H1034" s="2" t="s">
        <v>3376</v>
      </c>
      <c r="I1034" s="2" t="s">
        <v>30</v>
      </c>
      <c r="J1034" s="2" t="s">
        <v>1938</v>
      </c>
      <c r="K1034" s="2" t="str">
        <f>"26B"</f>
        <v>26B</v>
      </c>
      <c r="L1034" s="2" t="str">
        <f>""</f>
        <v/>
      </c>
      <c r="M1034" s="2" t="str">
        <f>"62-030"</f>
        <v>62-030</v>
      </c>
      <c r="N1034" s="2" t="str">
        <f>"618581979"</f>
        <v>618581979</v>
      </c>
      <c r="O1034" s="2" t="s">
        <v>3377</v>
      </c>
      <c r="P1034" s="2" t="s">
        <v>121</v>
      </c>
    </row>
    <row r="1035" spans="1:16" x14ac:dyDescent="0.25">
      <c r="A1035" s="2">
        <v>125343</v>
      </c>
      <c r="B1035" s="2" t="str">
        <f>"63969496000026"</f>
        <v>63969496000026</v>
      </c>
      <c r="C1035" s="2" t="s">
        <v>16</v>
      </c>
      <c r="D1035" s="2" t="s">
        <v>3378</v>
      </c>
      <c r="E1035" s="2" t="s">
        <v>157</v>
      </c>
      <c r="F1035" s="2" t="s">
        <v>162</v>
      </c>
      <c r="G1035" s="2" t="s">
        <v>1574</v>
      </c>
      <c r="H1035" s="2" t="s">
        <v>1574</v>
      </c>
      <c r="I1035" s="2" t="s">
        <v>68</v>
      </c>
      <c r="J1035" s="2" t="s">
        <v>671</v>
      </c>
      <c r="K1035" s="2" t="str">
        <f>"15"</f>
        <v>15</v>
      </c>
      <c r="L1035" s="2" t="str">
        <f>""</f>
        <v/>
      </c>
      <c r="M1035" s="2" t="str">
        <f>"62-002"</f>
        <v>62-002</v>
      </c>
      <c r="N1035" s="2" t="str">
        <f>"618116122"</f>
        <v>618116122</v>
      </c>
      <c r="O1035" s="2" t="s">
        <v>3379</v>
      </c>
      <c r="P1035" s="2" t="s">
        <v>121</v>
      </c>
    </row>
    <row r="1036" spans="1:16" x14ac:dyDescent="0.25">
      <c r="A1036" s="2">
        <v>125344</v>
      </c>
      <c r="B1036" s="2" t="str">
        <f>"63969496000040"</f>
        <v>63969496000040</v>
      </c>
      <c r="C1036" s="2" t="s">
        <v>16</v>
      </c>
      <c r="D1036" s="2" t="s">
        <v>3380</v>
      </c>
      <c r="E1036" s="2" t="s">
        <v>157</v>
      </c>
      <c r="F1036" s="2" t="s">
        <v>162</v>
      </c>
      <c r="G1036" s="2" t="s">
        <v>1261</v>
      </c>
      <c r="H1036" s="2" t="s">
        <v>1261</v>
      </c>
      <c r="I1036" s="2" t="s">
        <v>68</v>
      </c>
      <c r="J1036" s="2" t="s">
        <v>1288</v>
      </c>
      <c r="K1036" s="2" t="str">
        <f>"1"</f>
        <v>1</v>
      </c>
      <c r="L1036" s="2" t="str">
        <f>""</f>
        <v/>
      </c>
      <c r="M1036" s="2" t="str">
        <f>"62-080"</f>
        <v>62-080</v>
      </c>
      <c r="N1036" s="2" t="str">
        <f>"505377660"</f>
        <v>505377660</v>
      </c>
      <c r="O1036" s="2" t="s">
        <v>3381</v>
      </c>
      <c r="P1036" s="2" t="s">
        <v>121</v>
      </c>
    </row>
    <row r="1037" spans="1:16" x14ac:dyDescent="0.25">
      <c r="A1037" s="2">
        <v>6915</v>
      </c>
      <c r="B1037" s="2" t="str">
        <f>"030949821"</f>
        <v>030949821</v>
      </c>
      <c r="C1037" s="2" t="s">
        <v>16</v>
      </c>
      <c r="D1037" s="2" t="s">
        <v>3382</v>
      </c>
      <c r="E1037" s="2" t="s">
        <v>112</v>
      </c>
      <c r="F1037" s="2" t="s">
        <v>2023</v>
      </c>
      <c r="G1037" s="2" t="s">
        <v>3383</v>
      </c>
      <c r="H1037" s="2" t="s">
        <v>3383</v>
      </c>
      <c r="I1037" s="2" t="s">
        <v>30</v>
      </c>
      <c r="J1037" s="2" t="s">
        <v>3384</v>
      </c>
      <c r="K1037" s="2" t="str">
        <f>"41"</f>
        <v>41</v>
      </c>
      <c r="L1037" s="2" t="str">
        <f>""</f>
        <v/>
      </c>
      <c r="M1037" s="2" t="str">
        <f>"21-400"</f>
        <v>21-400</v>
      </c>
      <c r="N1037" s="2" t="str">
        <f>"257982119"</f>
        <v>257982119</v>
      </c>
      <c r="O1037" s="2" t="s">
        <v>3385</v>
      </c>
      <c r="P1037" s="2" t="s">
        <v>121</v>
      </c>
    </row>
    <row r="1038" spans="1:16" x14ac:dyDescent="0.25">
      <c r="A1038" s="2">
        <v>61565</v>
      </c>
      <c r="B1038" s="2" t="str">
        <f>"001031474"</f>
        <v>001031474</v>
      </c>
      <c r="C1038" s="2" t="s">
        <v>16</v>
      </c>
      <c r="D1038" s="2" t="s">
        <v>3386</v>
      </c>
      <c r="E1038" s="2" t="s">
        <v>64</v>
      </c>
      <c r="F1038" s="2" t="s">
        <v>2616</v>
      </c>
      <c r="G1038" s="2" t="s">
        <v>2619</v>
      </c>
      <c r="H1038" s="2" t="s">
        <v>2619</v>
      </c>
      <c r="I1038" s="2" t="s">
        <v>30</v>
      </c>
      <c r="J1038" s="2" t="s">
        <v>1255</v>
      </c>
      <c r="K1038" s="2" t="str">
        <f>"19"</f>
        <v>19</v>
      </c>
      <c r="L1038" s="2" t="str">
        <f>""</f>
        <v/>
      </c>
      <c r="M1038" s="2" t="str">
        <f>"59-600"</f>
        <v>59-600</v>
      </c>
      <c r="N1038" s="2" t="str">
        <f>"757824300"</f>
        <v>757824300</v>
      </c>
      <c r="O1038" s="2" t="s">
        <v>3387</v>
      </c>
      <c r="P1038" s="2" t="s">
        <v>121</v>
      </c>
    </row>
    <row r="1039" spans="1:16" x14ac:dyDescent="0.25">
      <c r="A1039" s="2">
        <v>83925</v>
      </c>
      <c r="B1039" s="2" t="str">
        <f>"871569642"</f>
        <v>871569642</v>
      </c>
      <c r="C1039" s="2" t="s">
        <v>16</v>
      </c>
      <c r="D1039" s="2" t="s">
        <v>3388</v>
      </c>
      <c r="E1039" s="2" t="s">
        <v>181</v>
      </c>
      <c r="F1039" s="2" t="s">
        <v>301</v>
      </c>
      <c r="G1039" s="2" t="s">
        <v>3389</v>
      </c>
      <c r="H1039" s="2" t="s">
        <v>3389</v>
      </c>
      <c r="I1039" s="2" t="s">
        <v>68</v>
      </c>
      <c r="J1039" s="2" t="s">
        <v>560</v>
      </c>
      <c r="K1039" s="2" t="str">
        <f>"10"</f>
        <v>10</v>
      </c>
      <c r="L1039" s="2" t="str">
        <f>""</f>
        <v/>
      </c>
      <c r="M1039" s="2" t="str">
        <f>"87-148"</f>
        <v>87-148</v>
      </c>
      <c r="N1039" s="2" t="str">
        <f>"566783609"</f>
        <v>566783609</v>
      </c>
      <c r="O1039" s="2" t="s">
        <v>3390</v>
      </c>
      <c r="P1039" s="2" t="s">
        <v>121</v>
      </c>
    </row>
    <row r="1040" spans="1:16" x14ac:dyDescent="0.25">
      <c r="A1040" s="2">
        <v>16267</v>
      </c>
      <c r="B1040" s="2" t="str">
        <f>"000908515"</f>
        <v>000908515</v>
      </c>
      <c r="C1040" s="2" t="s">
        <v>16</v>
      </c>
      <c r="D1040" s="2" t="s">
        <v>3391</v>
      </c>
      <c r="E1040" s="2" t="s">
        <v>80</v>
      </c>
      <c r="F1040" s="2" t="s">
        <v>3121</v>
      </c>
      <c r="G1040" s="2" t="s">
        <v>3392</v>
      </c>
      <c r="H1040" s="2" t="s">
        <v>3392</v>
      </c>
      <c r="I1040" s="2" t="s">
        <v>30</v>
      </c>
      <c r="J1040" s="2" t="s">
        <v>2147</v>
      </c>
      <c r="K1040" s="2" t="str">
        <f>"4a"</f>
        <v>4a</v>
      </c>
      <c r="L1040" s="2" t="str">
        <f>""</f>
        <v/>
      </c>
      <c r="M1040" s="2" t="str">
        <f>"77-200"</f>
        <v>77-200</v>
      </c>
      <c r="N1040" s="2" t="str">
        <f>"598570400"</f>
        <v>598570400</v>
      </c>
      <c r="O1040" s="2" t="s">
        <v>3393</v>
      </c>
      <c r="P1040" s="2" t="s">
        <v>121</v>
      </c>
    </row>
    <row r="1041" spans="1:16" x14ac:dyDescent="0.25">
      <c r="A1041" s="2">
        <v>20838</v>
      </c>
      <c r="B1041" s="2" t="str">
        <f>"001014412"</f>
        <v>001014412</v>
      </c>
      <c r="C1041" s="2" t="s">
        <v>16</v>
      </c>
      <c r="D1041" s="2" t="s">
        <v>3394</v>
      </c>
      <c r="E1041" s="2" t="s">
        <v>27</v>
      </c>
      <c r="F1041" s="2" t="s">
        <v>3395</v>
      </c>
      <c r="G1041" s="2" t="s">
        <v>3396</v>
      </c>
      <c r="H1041" s="2" t="s">
        <v>3396</v>
      </c>
      <c r="I1041" s="2" t="s">
        <v>30</v>
      </c>
      <c r="J1041" s="2" t="s">
        <v>1542</v>
      </c>
      <c r="K1041" s="2" t="str">
        <f>"20"</f>
        <v>20</v>
      </c>
      <c r="L1041" s="2" t="str">
        <f>""</f>
        <v/>
      </c>
      <c r="M1041" s="2" t="str">
        <f>"32-200"</f>
        <v>32-200</v>
      </c>
      <c r="N1041" s="2" t="str">
        <f>"413830520"</f>
        <v>413830520</v>
      </c>
      <c r="O1041" s="2" t="s">
        <v>3397</v>
      </c>
      <c r="P1041" s="2" t="s">
        <v>121</v>
      </c>
    </row>
    <row r="1042" spans="1:16" x14ac:dyDescent="0.25">
      <c r="A1042" s="2">
        <v>9154</v>
      </c>
      <c r="B1042" s="2" t="str">
        <f>"000711882"</f>
        <v>000711882</v>
      </c>
      <c r="C1042" s="2" t="s">
        <v>16</v>
      </c>
      <c r="D1042" s="2" t="s">
        <v>3398</v>
      </c>
      <c r="E1042" s="2" t="s">
        <v>157</v>
      </c>
      <c r="F1042" s="2" t="s">
        <v>3399</v>
      </c>
      <c r="G1042" s="2" t="s">
        <v>3400</v>
      </c>
      <c r="H1042" s="2" t="s">
        <v>3400</v>
      </c>
      <c r="I1042" s="2" t="s">
        <v>30</v>
      </c>
      <c r="J1042" s="2" t="s">
        <v>3401</v>
      </c>
      <c r="K1042" s="2" t="str">
        <f>"6A"</f>
        <v>6A</v>
      </c>
      <c r="L1042" s="2" t="str">
        <f>""</f>
        <v/>
      </c>
      <c r="M1042" s="2" t="str">
        <f>"64-400"</f>
        <v>64-400</v>
      </c>
      <c r="N1042" s="2" t="str">
        <f>"957482621"</f>
        <v>957482621</v>
      </c>
      <c r="O1042" s="2" t="s">
        <v>3402</v>
      </c>
      <c r="P1042" s="2" t="s">
        <v>121</v>
      </c>
    </row>
    <row r="1043" spans="1:16" x14ac:dyDescent="0.25">
      <c r="A1043" s="2">
        <v>25714</v>
      </c>
      <c r="B1043" s="2" t="str">
        <f>"370474300"</f>
        <v>370474300</v>
      </c>
      <c r="C1043" s="2" t="s">
        <v>16</v>
      </c>
      <c r="D1043" s="2" t="s">
        <v>3403</v>
      </c>
      <c r="E1043" s="2" t="s">
        <v>101</v>
      </c>
      <c r="F1043" s="2" t="s">
        <v>2403</v>
      </c>
      <c r="G1043" s="2" t="s">
        <v>3404</v>
      </c>
      <c r="H1043" s="2" t="s">
        <v>3404</v>
      </c>
      <c r="I1043" s="2" t="s">
        <v>68</v>
      </c>
      <c r="J1043" s="2" t="s">
        <v>3405</v>
      </c>
      <c r="K1043" s="2" t="str">
        <f>"14a"</f>
        <v>14a</v>
      </c>
      <c r="L1043" s="2" t="str">
        <f>""</f>
        <v/>
      </c>
      <c r="M1043" s="2" t="str">
        <f>"38-430"</f>
        <v>38-430</v>
      </c>
      <c r="N1043" s="2" t="str">
        <f>"134353996"</f>
        <v>134353996</v>
      </c>
      <c r="O1043" s="2" t="s">
        <v>3406</v>
      </c>
      <c r="P1043" s="2" t="s">
        <v>121</v>
      </c>
    </row>
    <row r="1044" spans="1:16" x14ac:dyDescent="0.25">
      <c r="A1044" s="2">
        <v>60188</v>
      </c>
      <c r="B1044" s="2" t="str">
        <f>"932700316"</f>
        <v>932700316</v>
      </c>
      <c r="C1044" s="2" t="s">
        <v>16</v>
      </c>
      <c r="D1044" s="2" t="s">
        <v>3407</v>
      </c>
      <c r="E1044" s="2" t="s">
        <v>64</v>
      </c>
      <c r="F1044" s="2" t="s">
        <v>3408</v>
      </c>
      <c r="G1044" s="2" t="s">
        <v>3409</v>
      </c>
      <c r="H1044" s="2" t="s">
        <v>3409</v>
      </c>
      <c r="I1044" s="2" t="s">
        <v>30</v>
      </c>
      <c r="J1044" s="2" t="s">
        <v>3410</v>
      </c>
      <c r="K1044" s="2" t="str">
        <f>"4B"</f>
        <v>4B</v>
      </c>
      <c r="L1044" s="2" t="str">
        <f>""</f>
        <v/>
      </c>
      <c r="M1044" s="2" t="str">
        <f>"56-300"</f>
        <v>56-300</v>
      </c>
      <c r="N1044" s="2" t="str">
        <f>"713840237"</f>
        <v>713840237</v>
      </c>
      <c r="O1044" s="2" t="s">
        <v>3411</v>
      </c>
      <c r="P1044" s="2" t="s">
        <v>121</v>
      </c>
    </row>
    <row r="1045" spans="1:16" x14ac:dyDescent="0.25">
      <c r="A1045" s="2">
        <v>53572</v>
      </c>
      <c r="B1045" s="2" t="str">
        <f>"000994420"</f>
        <v>000994420</v>
      </c>
      <c r="C1045" s="2" t="s">
        <v>16</v>
      </c>
      <c r="D1045" s="2" t="s">
        <v>3412</v>
      </c>
      <c r="E1045" s="2" t="s">
        <v>18</v>
      </c>
      <c r="F1045" s="2" t="s">
        <v>486</v>
      </c>
      <c r="G1045" s="2" t="s">
        <v>612</v>
      </c>
      <c r="H1045" s="2" t="s">
        <v>612</v>
      </c>
      <c r="I1045" s="2" t="s">
        <v>30</v>
      </c>
      <c r="J1045" s="2" t="s">
        <v>3116</v>
      </c>
      <c r="K1045" s="2" t="str">
        <f>"16"</f>
        <v>16</v>
      </c>
      <c r="L1045" s="2" t="str">
        <f>""</f>
        <v/>
      </c>
      <c r="M1045" s="2" t="str">
        <f>"05-300"</f>
        <v>05-300</v>
      </c>
      <c r="N1045" s="2" t="str">
        <f>"257564005"</f>
        <v>257564005</v>
      </c>
      <c r="O1045" s="2" t="s">
        <v>3413</v>
      </c>
      <c r="P1045" s="2" t="s">
        <v>121</v>
      </c>
    </row>
    <row r="1046" spans="1:16" x14ac:dyDescent="0.25">
      <c r="A1046" s="2">
        <v>16059</v>
      </c>
      <c r="B1046" s="2" t="str">
        <f>"000947461"</f>
        <v>000947461</v>
      </c>
      <c r="C1046" s="2" t="s">
        <v>16</v>
      </c>
      <c r="D1046" s="2" t="s">
        <v>3414</v>
      </c>
      <c r="E1046" s="2" t="s">
        <v>18</v>
      </c>
      <c r="F1046" s="2" t="s">
        <v>3415</v>
      </c>
      <c r="G1046" s="2" t="s">
        <v>3416</v>
      </c>
      <c r="H1046" s="2" t="s">
        <v>3416</v>
      </c>
      <c r="I1046" s="2" t="s">
        <v>30</v>
      </c>
      <c r="J1046" s="2" t="s">
        <v>1311</v>
      </c>
      <c r="K1046" s="2" t="str">
        <f>"9"</f>
        <v>9</v>
      </c>
      <c r="L1046" s="2" t="str">
        <f>""</f>
        <v/>
      </c>
      <c r="M1046" s="2" t="str">
        <f>"06-500"</f>
        <v>06-500</v>
      </c>
      <c r="N1046" s="2" t="str">
        <f>"236543329"</f>
        <v>236543329</v>
      </c>
      <c r="O1046" s="2" t="s">
        <v>3417</v>
      </c>
      <c r="P1046" s="2" t="s">
        <v>121</v>
      </c>
    </row>
    <row r="1047" spans="1:16" x14ac:dyDescent="0.25">
      <c r="A1047" s="2">
        <v>53010</v>
      </c>
      <c r="B1047" s="2" t="str">
        <f>"092502840"</f>
        <v>092502840</v>
      </c>
      <c r="C1047" s="2" t="s">
        <v>16</v>
      </c>
      <c r="D1047" s="2" t="s">
        <v>3418</v>
      </c>
      <c r="E1047" s="2" t="s">
        <v>181</v>
      </c>
      <c r="F1047" s="2" t="s">
        <v>3419</v>
      </c>
      <c r="G1047" s="2" t="s">
        <v>3420</v>
      </c>
      <c r="H1047" s="2" t="s">
        <v>3420</v>
      </c>
      <c r="I1047" s="2" t="s">
        <v>30</v>
      </c>
      <c r="J1047" s="2" t="s">
        <v>3421</v>
      </c>
      <c r="K1047" s="2" t="str">
        <f>"3"</f>
        <v>3</v>
      </c>
      <c r="L1047" s="2" t="str">
        <f>""</f>
        <v/>
      </c>
      <c r="M1047" s="2" t="str">
        <f>"88-300"</f>
        <v>88-300</v>
      </c>
      <c r="N1047" s="2" t="str">
        <f>"523152774"</f>
        <v>523152774</v>
      </c>
      <c r="O1047" s="2" t="s">
        <v>3422</v>
      </c>
      <c r="P1047" s="2" t="s">
        <v>121</v>
      </c>
    </row>
    <row r="1048" spans="1:16" x14ac:dyDescent="0.25">
      <c r="A1048" s="2">
        <v>105516</v>
      </c>
      <c r="B1048" s="2" t="str">
        <f>"000836141"</f>
        <v>000836141</v>
      </c>
      <c r="C1048" s="2" t="s">
        <v>16</v>
      </c>
      <c r="D1048" s="2" t="s">
        <v>3423</v>
      </c>
      <c r="E1048" s="2" t="s">
        <v>97</v>
      </c>
      <c r="F1048" s="2" t="s">
        <v>3424</v>
      </c>
      <c r="G1048" s="2" t="s">
        <v>3425</v>
      </c>
      <c r="H1048" s="2" t="s">
        <v>3425</v>
      </c>
      <c r="I1048" s="2" t="s">
        <v>30</v>
      </c>
      <c r="J1048" s="2" t="s">
        <v>3426</v>
      </c>
      <c r="K1048" s="2" t="str">
        <f>"15a"</f>
        <v>15a</v>
      </c>
      <c r="L1048" s="2" t="str">
        <f>""</f>
        <v/>
      </c>
      <c r="M1048" s="2" t="str">
        <f>"19-100"</f>
        <v>19-100</v>
      </c>
      <c r="N1048" s="2" t="str">
        <f>"857162544"</f>
        <v>857162544</v>
      </c>
      <c r="O1048" s="2" t="s">
        <v>3427</v>
      </c>
      <c r="P1048" s="2" t="s">
        <v>121</v>
      </c>
    </row>
    <row r="1049" spans="1:16" x14ac:dyDescent="0.25">
      <c r="A1049" s="2">
        <v>31393</v>
      </c>
      <c r="B1049" s="2" t="str">
        <f>"000707610"</f>
        <v>000707610</v>
      </c>
      <c r="C1049" s="2" t="s">
        <v>16</v>
      </c>
      <c r="D1049" s="2" t="s">
        <v>3428</v>
      </c>
      <c r="E1049" s="2" t="s">
        <v>389</v>
      </c>
      <c r="F1049" s="2" t="s">
        <v>1601</v>
      </c>
      <c r="G1049" s="2" t="s">
        <v>3429</v>
      </c>
      <c r="H1049" s="2" t="s">
        <v>3429</v>
      </c>
      <c r="I1049" s="2" t="s">
        <v>30</v>
      </c>
      <c r="J1049" s="2" t="s">
        <v>540</v>
      </c>
      <c r="K1049" s="2" t="str">
        <f>"6"</f>
        <v>6</v>
      </c>
      <c r="L1049" s="2" t="str">
        <f>""</f>
        <v/>
      </c>
      <c r="M1049" s="2" t="str">
        <f>"14-300"</f>
        <v>14-300</v>
      </c>
      <c r="N1049" s="2" t="str">
        <f>"897572011"</f>
        <v>897572011</v>
      </c>
      <c r="O1049" s="2" t="s">
        <v>3430</v>
      </c>
      <c r="P1049" s="2" t="s">
        <v>121</v>
      </c>
    </row>
    <row r="1050" spans="1:16" x14ac:dyDescent="0.25">
      <c r="A1050" s="2">
        <v>63492</v>
      </c>
      <c r="B1050" s="2" t="str">
        <f>"000707662"</f>
        <v>000707662</v>
      </c>
      <c r="C1050" s="2" t="s">
        <v>16</v>
      </c>
      <c r="D1050" s="2" t="s">
        <v>3431</v>
      </c>
      <c r="E1050" s="2" t="s">
        <v>389</v>
      </c>
      <c r="F1050" s="2" t="s">
        <v>3432</v>
      </c>
      <c r="G1050" s="2" t="s">
        <v>3433</v>
      </c>
      <c r="H1050" s="2" t="s">
        <v>3433</v>
      </c>
      <c r="I1050" s="2" t="s">
        <v>30</v>
      </c>
      <c r="J1050" s="2" t="s">
        <v>3434</v>
      </c>
      <c r="K1050" s="2" t="str">
        <f>"13"</f>
        <v>13</v>
      </c>
      <c r="L1050" s="2" t="str">
        <f>""</f>
        <v/>
      </c>
      <c r="M1050" s="2" t="str">
        <f>"11-700"</f>
        <v>11-700</v>
      </c>
      <c r="N1050" s="2" t="str">
        <f>"897412963"</f>
        <v>897412963</v>
      </c>
      <c r="O1050" s="2" t="s">
        <v>3435</v>
      </c>
      <c r="P1050" s="2" t="s">
        <v>121</v>
      </c>
    </row>
    <row r="1051" spans="1:16" x14ac:dyDescent="0.25">
      <c r="A1051" s="2">
        <v>83281</v>
      </c>
      <c r="B1051" s="2" t="str">
        <f>"000711907"</f>
        <v>000711907</v>
      </c>
      <c r="C1051" s="2" t="s">
        <v>16</v>
      </c>
      <c r="D1051" s="2" t="s">
        <v>3436</v>
      </c>
      <c r="E1051" s="2" t="s">
        <v>34</v>
      </c>
      <c r="F1051" s="2" t="s">
        <v>829</v>
      </c>
      <c r="G1051" s="2" t="s">
        <v>830</v>
      </c>
      <c r="H1051" s="2" t="s">
        <v>830</v>
      </c>
      <c r="I1051" s="2" t="s">
        <v>30</v>
      </c>
      <c r="J1051" s="2" t="s">
        <v>202</v>
      </c>
      <c r="K1051" s="2" t="str">
        <f>"13"</f>
        <v>13</v>
      </c>
      <c r="L1051" s="2" t="str">
        <f>""</f>
        <v/>
      </c>
      <c r="M1051" s="2" t="str">
        <f>"74-300"</f>
        <v>74-300</v>
      </c>
      <c r="N1051" s="2" t="str">
        <f>"957473070"</f>
        <v>957473070</v>
      </c>
      <c r="O1051" s="2" t="s">
        <v>3437</v>
      </c>
      <c r="P1051" s="2" t="s">
        <v>121</v>
      </c>
    </row>
    <row r="1052" spans="1:16" x14ac:dyDescent="0.25">
      <c r="A1052" s="2">
        <v>15375</v>
      </c>
      <c r="B1052" s="2" t="str">
        <f>"000722377"</f>
        <v>000722377</v>
      </c>
      <c r="C1052" s="2" t="s">
        <v>16</v>
      </c>
      <c r="D1052" s="2" t="s">
        <v>3438</v>
      </c>
      <c r="E1052" s="2" t="s">
        <v>117</v>
      </c>
      <c r="F1052" s="2" t="s">
        <v>384</v>
      </c>
      <c r="G1052" s="2" t="s">
        <v>384</v>
      </c>
      <c r="H1052" s="2" t="s">
        <v>384</v>
      </c>
      <c r="I1052" s="2" t="s">
        <v>30</v>
      </c>
      <c r="J1052" s="2" t="s">
        <v>3439</v>
      </c>
      <c r="K1052" s="2" t="str">
        <f>"84a"</f>
        <v>84a</v>
      </c>
      <c r="L1052" s="2" t="str">
        <f>""</f>
        <v/>
      </c>
      <c r="M1052" s="2" t="str">
        <f>"41-400"</f>
        <v>41-400</v>
      </c>
      <c r="N1052" s="2" t="str">
        <f>"0322225203"</f>
        <v>0322225203</v>
      </c>
      <c r="O1052" s="2" t="s">
        <v>3440</v>
      </c>
      <c r="P1052" s="2" t="s">
        <v>121</v>
      </c>
    </row>
    <row r="1053" spans="1:16" x14ac:dyDescent="0.25">
      <c r="A1053" s="2">
        <v>61403</v>
      </c>
      <c r="B1053" s="2" t="str">
        <f>"000743037"</f>
        <v>000743037</v>
      </c>
      <c r="C1053" s="2" t="s">
        <v>16</v>
      </c>
      <c r="D1053" s="2" t="s">
        <v>3441</v>
      </c>
      <c r="E1053" s="2" t="s">
        <v>416</v>
      </c>
      <c r="F1053" s="2" t="s">
        <v>2036</v>
      </c>
      <c r="G1053" s="2" t="s">
        <v>3442</v>
      </c>
      <c r="H1053" s="2" t="s">
        <v>3442</v>
      </c>
      <c r="I1053" s="2" t="s">
        <v>30</v>
      </c>
      <c r="J1053" s="2" t="s">
        <v>628</v>
      </c>
      <c r="K1053" s="2" t="str">
        <f>"5"</f>
        <v>5</v>
      </c>
      <c r="L1053" s="2" t="str">
        <f>""</f>
        <v/>
      </c>
      <c r="M1053" s="2" t="str">
        <f>"49-100"</f>
        <v>49-100</v>
      </c>
      <c r="N1053" s="2" t="str">
        <f>"774606363"</f>
        <v>774606363</v>
      </c>
      <c r="O1053" s="2" t="s">
        <v>3443</v>
      </c>
      <c r="P1053" s="2" t="s">
        <v>121</v>
      </c>
    </row>
    <row r="1054" spans="1:16" x14ac:dyDescent="0.25">
      <c r="A1054" s="2">
        <v>72983</v>
      </c>
      <c r="B1054" s="2" t="str">
        <f>"00083766600026"</f>
        <v>00083766600026</v>
      </c>
      <c r="C1054" s="2" t="s">
        <v>16</v>
      </c>
      <c r="D1054" s="2" t="s">
        <v>3444</v>
      </c>
      <c r="E1054" s="2" t="s">
        <v>18</v>
      </c>
      <c r="F1054" s="2" t="s">
        <v>1505</v>
      </c>
      <c r="G1054" s="2" t="s">
        <v>3445</v>
      </c>
      <c r="H1054" s="2" t="s">
        <v>3445</v>
      </c>
      <c r="I1054" s="2" t="s">
        <v>30</v>
      </c>
      <c r="J1054" s="2" t="s">
        <v>396</v>
      </c>
      <c r="K1054" s="2" t="str">
        <f>"6"</f>
        <v>6</v>
      </c>
      <c r="L1054" s="2" t="str">
        <f>""</f>
        <v/>
      </c>
      <c r="M1054" s="2" t="str">
        <f>"05-190"</f>
        <v>05-190</v>
      </c>
      <c r="N1054" s="2" t="str">
        <f>"236912647"</f>
        <v>236912647</v>
      </c>
      <c r="O1054" s="2" t="s">
        <v>2587</v>
      </c>
      <c r="P1054" s="2" t="s">
        <v>121</v>
      </c>
    </row>
    <row r="1055" spans="1:16" x14ac:dyDescent="0.25">
      <c r="A1055" s="2">
        <v>29437</v>
      </c>
      <c r="B1055" s="2" t="str">
        <f>"000714969"</f>
        <v>000714969</v>
      </c>
      <c r="C1055" s="2" t="s">
        <v>16</v>
      </c>
      <c r="D1055" s="2" t="s">
        <v>3446</v>
      </c>
      <c r="E1055" s="2" t="s">
        <v>27</v>
      </c>
      <c r="F1055" s="2" t="s">
        <v>196</v>
      </c>
      <c r="G1055" s="2" t="s">
        <v>196</v>
      </c>
      <c r="H1055" s="2" t="s">
        <v>196</v>
      </c>
      <c r="I1055" s="2" t="s">
        <v>30</v>
      </c>
      <c r="J1055" s="2" t="s">
        <v>3447</v>
      </c>
      <c r="K1055" s="2" t="str">
        <f>"5"</f>
        <v>5</v>
      </c>
      <c r="L1055" s="2" t="str">
        <f>""</f>
        <v/>
      </c>
      <c r="M1055" s="2" t="str">
        <f>"33-300"</f>
        <v>33-300</v>
      </c>
      <c r="N1055" s="2" t="str">
        <f>"184438622"</f>
        <v>184438622</v>
      </c>
      <c r="O1055" s="2" t="s">
        <v>3448</v>
      </c>
      <c r="P1055" s="2" t="s">
        <v>121</v>
      </c>
    </row>
    <row r="1056" spans="1:16" x14ac:dyDescent="0.25">
      <c r="A1056" s="2">
        <v>91886</v>
      </c>
      <c r="B1056" s="2" t="str">
        <f>"000742977"</f>
        <v>000742977</v>
      </c>
      <c r="C1056" s="2" t="s">
        <v>16</v>
      </c>
      <c r="D1056" s="2" t="s">
        <v>3449</v>
      </c>
      <c r="E1056" s="2" t="s">
        <v>416</v>
      </c>
      <c r="F1056" s="2" t="s">
        <v>2095</v>
      </c>
      <c r="G1056" s="2" t="s">
        <v>2096</v>
      </c>
      <c r="H1056" s="2" t="s">
        <v>2096</v>
      </c>
      <c r="I1056" s="2" t="s">
        <v>30</v>
      </c>
      <c r="J1056" s="2" t="s">
        <v>3450</v>
      </c>
      <c r="K1056" s="2" t="str">
        <f>"17"</f>
        <v>17</v>
      </c>
      <c r="L1056" s="2" t="str">
        <f>""</f>
        <v/>
      </c>
      <c r="M1056" s="2" t="str">
        <f>"48-300"</f>
        <v>48-300</v>
      </c>
      <c r="N1056" s="2" t="str">
        <f>"774093915"</f>
        <v>774093915</v>
      </c>
      <c r="O1056" s="2" t="s">
        <v>3451</v>
      </c>
      <c r="P1056" s="2" t="s">
        <v>121</v>
      </c>
    </row>
    <row r="1057" spans="1:16" x14ac:dyDescent="0.25">
      <c r="A1057" s="2">
        <v>23206</v>
      </c>
      <c r="B1057" s="2" t="str">
        <f>"639734428"</f>
        <v>639734428</v>
      </c>
      <c r="C1057" s="2" t="s">
        <v>16</v>
      </c>
      <c r="D1057" s="2" t="s">
        <v>3452</v>
      </c>
      <c r="E1057" s="2" t="s">
        <v>157</v>
      </c>
      <c r="F1057" s="2" t="s">
        <v>3453</v>
      </c>
      <c r="G1057" s="2" t="s">
        <v>3454</v>
      </c>
      <c r="H1057" s="2" t="s">
        <v>3454</v>
      </c>
      <c r="I1057" s="2" t="s">
        <v>30</v>
      </c>
      <c r="J1057" s="2" t="s">
        <v>138</v>
      </c>
      <c r="K1057" s="2" t="str">
        <f>"4"</f>
        <v>4</v>
      </c>
      <c r="L1057" s="2" t="str">
        <f>""</f>
        <v/>
      </c>
      <c r="M1057" s="2" t="str">
        <f>"64-600"</f>
        <v>64-600</v>
      </c>
      <c r="N1057" s="2" t="str">
        <f>"0612960439"</f>
        <v>0612960439</v>
      </c>
      <c r="O1057" s="2" t="s">
        <v>3455</v>
      </c>
      <c r="P1057" s="2" t="s">
        <v>121</v>
      </c>
    </row>
    <row r="1058" spans="1:16" x14ac:dyDescent="0.25">
      <c r="A1058" s="2">
        <v>35167</v>
      </c>
      <c r="B1058" s="2" t="str">
        <f>"932090941"</f>
        <v>932090941</v>
      </c>
      <c r="C1058" s="2" t="s">
        <v>16</v>
      </c>
      <c r="D1058" s="2" t="s">
        <v>3456</v>
      </c>
      <c r="E1058" s="2" t="s">
        <v>64</v>
      </c>
      <c r="F1058" s="2" t="s">
        <v>71</v>
      </c>
      <c r="G1058" s="2" t="s">
        <v>3268</v>
      </c>
      <c r="H1058" s="2" t="s">
        <v>3268</v>
      </c>
      <c r="I1058" s="2" t="s">
        <v>30</v>
      </c>
      <c r="J1058" s="2" t="s">
        <v>3457</v>
      </c>
      <c r="K1058" s="2" t="str">
        <f>"18"</f>
        <v>18</v>
      </c>
      <c r="L1058" s="2" t="str">
        <f>""</f>
        <v/>
      </c>
      <c r="M1058" s="2" t="str">
        <f>"55-200"</f>
        <v>55-200</v>
      </c>
      <c r="N1058" s="2" t="str">
        <f>"713132239"</f>
        <v>713132239</v>
      </c>
      <c r="O1058" s="2" t="s">
        <v>3458</v>
      </c>
      <c r="P1058" s="2" t="s">
        <v>121</v>
      </c>
    </row>
    <row r="1059" spans="1:16" x14ac:dyDescent="0.25">
      <c r="A1059" s="2">
        <v>5364</v>
      </c>
      <c r="B1059" s="2" t="str">
        <f>"000695775"</f>
        <v>000695775</v>
      </c>
      <c r="C1059" s="2" t="s">
        <v>16</v>
      </c>
      <c r="D1059" s="2" t="s">
        <v>3459</v>
      </c>
      <c r="E1059" s="2" t="s">
        <v>389</v>
      </c>
      <c r="F1059" s="2" t="s">
        <v>1869</v>
      </c>
      <c r="G1059" s="2" t="s">
        <v>1870</v>
      </c>
      <c r="H1059" s="2" t="s">
        <v>1870</v>
      </c>
      <c r="I1059" s="2" t="s">
        <v>30</v>
      </c>
      <c r="J1059" s="2" t="s">
        <v>2275</v>
      </c>
      <c r="K1059" s="2" t="str">
        <f>"2"</f>
        <v>2</v>
      </c>
      <c r="L1059" s="2" t="str">
        <f>""</f>
        <v/>
      </c>
      <c r="M1059" s="2" t="str">
        <f>"19-400"</f>
        <v>19-400</v>
      </c>
      <c r="N1059" s="2" t="str">
        <f>"875239338"</f>
        <v>875239338</v>
      </c>
      <c r="O1059" s="2" t="s">
        <v>3460</v>
      </c>
      <c r="P1059" s="2" t="s">
        <v>121</v>
      </c>
    </row>
    <row r="1060" spans="1:16" x14ac:dyDescent="0.25">
      <c r="A1060" s="2">
        <v>12862</v>
      </c>
      <c r="B1060" s="2" t="str">
        <f>"932821729"</f>
        <v>932821729</v>
      </c>
      <c r="C1060" s="2" t="s">
        <v>16</v>
      </c>
      <c r="D1060" s="2" t="s">
        <v>3461</v>
      </c>
      <c r="E1060" s="2" t="s">
        <v>64</v>
      </c>
      <c r="F1060" s="2" t="s">
        <v>1091</v>
      </c>
      <c r="G1060" s="2" t="s">
        <v>1092</v>
      </c>
      <c r="H1060" s="2" t="s">
        <v>1092</v>
      </c>
      <c r="I1060" s="2" t="s">
        <v>30</v>
      </c>
      <c r="J1060" s="2" t="s">
        <v>628</v>
      </c>
      <c r="K1060" s="2" t="str">
        <f>"67/69"</f>
        <v>67/69</v>
      </c>
      <c r="L1060" s="2" t="str">
        <f>""</f>
        <v/>
      </c>
      <c r="M1060" s="2" t="str">
        <f>"56-400"</f>
        <v>56-400</v>
      </c>
      <c r="N1060" s="2" t="str">
        <f>"713143278"</f>
        <v>713143278</v>
      </c>
      <c r="O1060" s="2" t="s">
        <v>3462</v>
      </c>
      <c r="P1060" s="2" t="s">
        <v>121</v>
      </c>
    </row>
    <row r="1061" spans="1:16" x14ac:dyDescent="0.25">
      <c r="A1061" s="2">
        <v>13365</v>
      </c>
      <c r="B1061" s="2" t="str">
        <f>"000730448"</f>
        <v>000730448</v>
      </c>
      <c r="C1061" s="2" t="s">
        <v>16</v>
      </c>
      <c r="D1061" s="2" t="s">
        <v>289</v>
      </c>
      <c r="E1061" s="2" t="s">
        <v>27</v>
      </c>
      <c r="F1061" s="2" t="s">
        <v>284</v>
      </c>
      <c r="G1061" s="2" t="s">
        <v>288</v>
      </c>
      <c r="H1061" s="2" t="s">
        <v>288</v>
      </c>
      <c r="I1061" s="2" t="s">
        <v>30</v>
      </c>
      <c r="J1061" s="2" t="s">
        <v>3463</v>
      </c>
      <c r="K1061" s="2" t="str">
        <f>"3"</f>
        <v>3</v>
      </c>
      <c r="L1061" s="2" t="str">
        <f>""</f>
        <v/>
      </c>
      <c r="M1061" s="2" t="str">
        <f>"32-300"</f>
        <v>32-300</v>
      </c>
      <c r="N1061" s="2" t="str">
        <f>"326470830"</f>
        <v>326470830</v>
      </c>
      <c r="O1061" s="2" t="s">
        <v>3464</v>
      </c>
      <c r="P1061" s="2" t="s">
        <v>121</v>
      </c>
    </row>
    <row r="1062" spans="1:16" x14ac:dyDescent="0.25">
      <c r="A1062" s="2">
        <v>27644</v>
      </c>
      <c r="B1062" s="2" t="str">
        <f>"292680267"</f>
        <v>292680267</v>
      </c>
      <c r="C1062" s="2" t="s">
        <v>16</v>
      </c>
      <c r="D1062" s="2" t="s">
        <v>3465</v>
      </c>
      <c r="E1062" s="2" t="s">
        <v>74</v>
      </c>
      <c r="F1062" s="2" t="s">
        <v>3466</v>
      </c>
      <c r="G1062" s="2" t="s">
        <v>3467</v>
      </c>
      <c r="H1062" s="2" t="s">
        <v>3467</v>
      </c>
      <c r="I1062" s="2" t="s">
        <v>30</v>
      </c>
      <c r="J1062" s="2" t="s">
        <v>3468</v>
      </c>
      <c r="K1062" s="2" t="str">
        <f>"3"</f>
        <v>3</v>
      </c>
      <c r="L1062" s="2" t="str">
        <f>""</f>
        <v/>
      </c>
      <c r="M1062" s="2" t="str">
        <f>"27-500"</f>
        <v>27-500</v>
      </c>
      <c r="N1062" s="2" t="str">
        <f>"158682636"</f>
        <v>158682636</v>
      </c>
      <c r="O1062" s="2" t="s">
        <v>3469</v>
      </c>
      <c r="P1062" s="2" t="s">
        <v>121</v>
      </c>
    </row>
    <row r="1063" spans="1:16" x14ac:dyDescent="0.25">
      <c r="A1063" s="2">
        <v>14269</v>
      </c>
      <c r="B1063" s="2" t="str">
        <f>"001045861"</f>
        <v>001045861</v>
      </c>
      <c r="C1063" s="2" t="s">
        <v>16</v>
      </c>
      <c r="D1063" s="2" t="s">
        <v>3470</v>
      </c>
      <c r="E1063" s="2" t="s">
        <v>39</v>
      </c>
      <c r="F1063" s="2" t="s">
        <v>1191</v>
      </c>
      <c r="G1063" s="2" t="s">
        <v>1192</v>
      </c>
      <c r="H1063" s="2" t="s">
        <v>1192</v>
      </c>
      <c r="I1063" s="2" t="s">
        <v>30</v>
      </c>
      <c r="J1063" s="2" t="s">
        <v>444</v>
      </c>
      <c r="K1063" s="2" t="str">
        <f>"2"</f>
        <v>2</v>
      </c>
      <c r="L1063" s="2" t="str">
        <f>""</f>
        <v/>
      </c>
      <c r="M1063" s="2" t="str">
        <f>"26-300"</f>
        <v>26-300</v>
      </c>
      <c r="N1063" s="2" t="str">
        <f>"447416462"</f>
        <v>447416462</v>
      </c>
      <c r="O1063" s="2" t="s">
        <v>3471</v>
      </c>
      <c r="P1063" s="2" t="s">
        <v>121</v>
      </c>
    </row>
    <row r="1064" spans="1:16" x14ac:dyDescent="0.25">
      <c r="A1064" s="2">
        <v>18284</v>
      </c>
      <c r="B1064" s="2" t="str">
        <f>"00104586100026"</f>
        <v>00104586100026</v>
      </c>
      <c r="C1064" s="2" t="s">
        <v>16</v>
      </c>
      <c r="D1064" s="2" t="s">
        <v>3472</v>
      </c>
      <c r="E1064" s="2" t="s">
        <v>39</v>
      </c>
      <c r="F1064" s="2" t="s">
        <v>1191</v>
      </c>
      <c r="G1064" s="2" t="s">
        <v>3473</v>
      </c>
      <c r="H1064" s="2" t="s">
        <v>3473</v>
      </c>
      <c r="I1064" s="2" t="s">
        <v>30</v>
      </c>
      <c r="J1064" s="2" t="s">
        <v>3474</v>
      </c>
      <c r="K1064" s="2" t="str">
        <f>"1"</f>
        <v>1</v>
      </c>
      <c r="L1064" s="2" t="str">
        <f>""</f>
        <v/>
      </c>
      <c r="M1064" s="2" t="str">
        <f>"26-340"</f>
        <v>26-340</v>
      </c>
      <c r="N1064" s="2" t="str">
        <f>"447416554"</f>
        <v>447416554</v>
      </c>
      <c r="O1064" s="2" t="s">
        <v>3475</v>
      </c>
      <c r="P1064" s="2" t="s">
        <v>121</v>
      </c>
    </row>
    <row r="1065" spans="1:16" x14ac:dyDescent="0.25">
      <c r="A1065" s="2">
        <v>61399</v>
      </c>
      <c r="B1065" s="2" t="str">
        <f>"001076376"</f>
        <v>001076376</v>
      </c>
      <c r="C1065" s="2" t="s">
        <v>16</v>
      </c>
      <c r="D1065" s="2" t="s">
        <v>3476</v>
      </c>
      <c r="E1065" s="2" t="s">
        <v>416</v>
      </c>
      <c r="F1065" s="2" t="s">
        <v>417</v>
      </c>
      <c r="G1065" s="2" t="s">
        <v>417</v>
      </c>
      <c r="H1065" s="2" t="s">
        <v>417</v>
      </c>
      <c r="I1065" s="2" t="s">
        <v>30</v>
      </c>
      <c r="J1065" s="2" t="s">
        <v>3477</v>
      </c>
      <c r="K1065" s="2" t="str">
        <f>"27"</f>
        <v>27</v>
      </c>
      <c r="L1065" s="2" t="str">
        <f>""</f>
        <v/>
      </c>
      <c r="M1065" s="2" t="str">
        <f>"45-005"</f>
        <v>45-005</v>
      </c>
      <c r="N1065" s="2" t="str">
        <f>"774410245"</f>
        <v>774410245</v>
      </c>
      <c r="O1065" s="2" t="s">
        <v>3478</v>
      </c>
      <c r="P1065" s="2" t="s">
        <v>121</v>
      </c>
    </row>
    <row r="1066" spans="1:16" x14ac:dyDescent="0.25">
      <c r="A1066" s="2">
        <v>74073</v>
      </c>
      <c r="B1066" s="2" t="str">
        <f>"000802700"</f>
        <v>000802700</v>
      </c>
      <c r="C1066" s="2" t="s">
        <v>16</v>
      </c>
      <c r="D1066" s="2" t="s">
        <v>3479</v>
      </c>
      <c r="E1066" s="2" t="s">
        <v>112</v>
      </c>
      <c r="F1066" s="2" t="s">
        <v>2036</v>
      </c>
      <c r="G1066" s="2" t="s">
        <v>3480</v>
      </c>
      <c r="H1066" s="2" t="s">
        <v>3480</v>
      </c>
      <c r="I1066" s="2" t="s">
        <v>30</v>
      </c>
      <c r="J1066" s="2" t="s">
        <v>671</v>
      </c>
      <c r="K1066" s="2" t="str">
        <f>"5"</f>
        <v>5</v>
      </c>
      <c r="L1066" s="2" t="str">
        <f>""</f>
        <v/>
      </c>
      <c r="M1066" s="2" t="str">
        <f>"24-300"</f>
        <v>24-300</v>
      </c>
      <c r="N1066" s="2" t="str">
        <f>"818272367"</f>
        <v>818272367</v>
      </c>
      <c r="O1066" s="2" t="s">
        <v>3481</v>
      </c>
      <c r="P1066" s="2" t="s">
        <v>121</v>
      </c>
    </row>
    <row r="1067" spans="1:16" x14ac:dyDescent="0.25">
      <c r="A1067" s="2">
        <v>75329</v>
      </c>
      <c r="B1067" s="2" t="str">
        <f>"000716678"</f>
        <v>000716678</v>
      </c>
      <c r="C1067" s="2" t="s">
        <v>16</v>
      </c>
      <c r="D1067" s="2" t="s">
        <v>3482</v>
      </c>
      <c r="E1067" s="2" t="s">
        <v>389</v>
      </c>
      <c r="F1067" s="2" t="s">
        <v>1601</v>
      </c>
      <c r="G1067" s="2" t="s">
        <v>1602</v>
      </c>
      <c r="H1067" s="2" t="s">
        <v>1602</v>
      </c>
      <c r="I1067" s="2" t="s">
        <v>30</v>
      </c>
      <c r="J1067" s="2" t="s">
        <v>1288</v>
      </c>
      <c r="K1067" s="2" t="str">
        <f>"1"</f>
        <v>1</v>
      </c>
      <c r="L1067" s="2" t="str">
        <f>""</f>
        <v/>
      </c>
      <c r="M1067" s="2" t="str">
        <f>"14-100"</f>
        <v>14-100</v>
      </c>
      <c r="N1067" s="2" t="str">
        <f>"896466598"</f>
        <v>896466598</v>
      </c>
      <c r="O1067" s="2" t="s">
        <v>3483</v>
      </c>
      <c r="P1067" s="2" t="s">
        <v>121</v>
      </c>
    </row>
    <row r="1068" spans="1:16" x14ac:dyDescent="0.25">
      <c r="A1068" s="2">
        <v>15009</v>
      </c>
      <c r="B1068" s="2" t="str">
        <f>"291120106"</f>
        <v>291120106</v>
      </c>
      <c r="C1068" s="2" t="s">
        <v>16</v>
      </c>
      <c r="D1068" s="2" t="s">
        <v>3484</v>
      </c>
      <c r="E1068" s="2" t="s">
        <v>74</v>
      </c>
      <c r="F1068" s="2" t="s">
        <v>75</v>
      </c>
      <c r="G1068" s="2" t="s">
        <v>76</v>
      </c>
      <c r="H1068" s="2" t="s">
        <v>76</v>
      </c>
      <c r="I1068" s="2" t="s">
        <v>30</v>
      </c>
      <c r="J1068" s="2" t="s">
        <v>1005</v>
      </c>
      <c r="K1068" s="2" t="str">
        <f>"5"</f>
        <v>5</v>
      </c>
      <c r="L1068" s="2" t="str">
        <f>""</f>
        <v/>
      </c>
      <c r="M1068" s="2" t="str">
        <f>"27-400"</f>
        <v>27-400</v>
      </c>
      <c r="N1068" s="2" t="str">
        <f>"0412664190"</f>
        <v>0412664190</v>
      </c>
      <c r="O1068" s="2" t="s">
        <v>3485</v>
      </c>
      <c r="P1068" s="2" t="s">
        <v>121</v>
      </c>
    </row>
    <row r="1069" spans="1:16" x14ac:dyDescent="0.25">
      <c r="A1069" s="2">
        <v>109968</v>
      </c>
      <c r="B1069" s="2" t="str">
        <f>"000694451"</f>
        <v>000694451</v>
      </c>
      <c r="C1069" s="2" t="s">
        <v>16</v>
      </c>
      <c r="D1069" s="2" t="s">
        <v>3486</v>
      </c>
      <c r="E1069" s="2" t="s">
        <v>18</v>
      </c>
      <c r="F1069" s="2" t="s">
        <v>476</v>
      </c>
      <c r="G1069" s="2" t="s">
        <v>3487</v>
      </c>
      <c r="H1069" s="2" t="s">
        <v>3487</v>
      </c>
      <c r="I1069" s="2" t="s">
        <v>30</v>
      </c>
      <c r="J1069" s="2" t="s">
        <v>3488</v>
      </c>
      <c r="K1069" s="2" t="str">
        <f>"15"</f>
        <v>15</v>
      </c>
      <c r="L1069" s="2" t="str">
        <f>""</f>
        <v/>
      </c>
      <c r="M1069" s="2" t="str">
        <f>"07-300"</f>
        <v>07-300</v>
      </c>
      <c r="N1069" s="2" t="str">
        <f>"297453476"</f>
        <v>297453476</v>
      </c>
      <c r="O1069" s="2" t="s">
        <v>3489</v>
      </c>
      <c r="P1069" s="2" t="s">
        <v>121</v>
      </c>
    </row>
    <row r="1070" spans="1:16" x14ac:dyDescent="0.25">
      <c r="A1070" s="2">
        <v>3031</v>
      </c>
      <c r="B1070" s="2" t="str">
        <f>"000745591"</f>
        <v>000745591</v>
      </c>
      <c r="C1070" s="2" t="s">
        <v>16</v>
      </c>
      <c r="D1070" s="2" t="s">
        <v>3490</v>
      </c>
      <c r="E1070" s="2" t="s">
        <v>27</v>
      </c>
      <c r="F1070" s="2" t="s">
        <v>3108</v>
      </c>
      <c r="G1070" s="2" t="s">
        <v>3112</v>
      </c>
      <c r="H1070" s="2" t="s">
        <v>3112</v>
      </c>
      <c r="I1070" s="2" t="s">
        <v>30</v>
      </c>
      <c r="J1070" s="2" t="s">
        <v>3491</v>
      </c>
      <c r="K1070" s="2" t="str">
        <f>"4"</f>
        <v>4</v>
      </c>
      <c r="L1070" s="2" t="str">
        <f>""</f>
        <v/>
      </c>
      <c r="M1070" s="2" t="str">
        <f>"32-600"</f>
        <v>32-600</v>
      </c>
      <c r="N1070" s="2" t="str">
        <f>"338431162"</f>
        <v>338431162</v>
      </c>
      <c r="O1070" s="2" t="s">
        <v>3492</v>
      </c>
      <c r="P1070" s="2" t="s">
        <v>121</v>
      </c>
    </row>
    <row r="1071" spans="1:16" x14ac:dyDescent="0.25">
      <c r="A1071" s="2">
        <v>18016</v>
      </c>
      <c r="B1071" s="2" t="str">
        <f>"292695926"</f>
        <v>292695926</v>
      </c>
      <c r="C1071" s="2" t="s">
        <v>16</v>
      </c>
      <c r="D1071" s="2" t="s">
        <v>3493</v>
      </c>
      <c r="E1071" s="2" t="s">
        <v>74</v>
      </c>
      <c r="F1071" s="2" t="s">
        <v>3466</v>
      </c>
      <c r="G1071" s="2" t="s">
        <v>3494</v>
      </c>
      <c r="H1071" s="2" t="s">
        <v>3494</v>
      </c>
      <c r="I1071" s="2" t="s">
        <v>30</v>
      </c>
      <c r="J1071" s="2" t="s">
        <v>3495</v>
      </c>
      <c r="K1071" s="2" t="str">
        <f>"56"</f>
        <v>56</v>
      </c>
      <c r="L1071" s="2" t="str">
        <f>""</f>
        <v/>
      </c>
      <c r="M1071" s="2" t="str">
        <f>"27-530"</f>
        <v>27-530</v>
      </c>
      <c r="N1071" s="2" t="str">
        <f>"158611002"</f>
        <v>158611002</v>
      </c>
      <c r="O1071" s="2" t="s">
        <v>3496</v>
      </c>
      <c r="P1071" s="2" t="s">
        <v>121</v>
      </c>
    </row>
    <row r="1072" spans="1:16" x14ac:dyDescent="0.25">
      <c r="A1072" s="2">
        <v>61401</v>
      </c>
      <c r="B1072" s="2" t="str">
        <f>"001076270"</f>
        <v>001076270</v>
      </c>
      <c r="C1072" s="2" t="s">
        <v>16</v>
      </c>
      <c r="D1072" s="2" t="s">
        <v>3497</v>
      </c>
      <c r="E1072" s="2" t="s">
        <v>416</v>
      </c>
      <c r="F1072" s="2" t="s">
        <v>2036</v>
      </c>
      <c r="G1072" s="2" t="s">
        <v>3498</v>
      </c>
      <c r="H1072" s="2" t="s">
        <v>3498</v>
      </c>
      <c r="I1072" s="2" t="s">
        <v>30</v>
      </c>
      <c r="J1072" s="2" t="s">
        <v>3499</v>
      </c>
      <c r="K1072" s="2" t="str">
        <f>"31"</f>
        <v>31</v>
      </c>
      <c r="L1072" s="2" t="str">
        <f>""</f>
        <v/>
      </c>
      <c r="M1072" s="2" t="str">
        <f>"46-040"</f>
        <v>46-040</v>
      </c>
      <c r="N1072" s="2" t="str">
        <f>"774651254"</f>
        <v>774651254</v>
      </c>
      <c r="O1072" s="2" t="s">
        <v>3500</v>
      </c>
      <c r="P1072" s="2" t="s">
        <v>121</v>
      </c>
    </row>
    <row r="1073" spans="1:16" x14ac:dyDescent="0.25">
      <c r="A1073" s="2">
        <v>16326</v>
      </c>
      <c r="B1073" s="2" t="str">
        <f>"000733145"</f>
        <v>000733145</v>
      </c>
      <c r="C1073" s="2" t="s">
        <v>16</v>
      </c>
      <c r="D1073" s="2" t="s">
        <v>3501</v>
      </c>
      <c r="E1073" s="2" t="s">
        <v>39</v>
      </c>
      <c r="F1073" s="2" t="s">
        <v>462</v>
      </c>
      <c r="G1073" s="2" t="s">
        <v>463</v>
      </c>
      <c r="H1073" s="2" t="s">
        <v>463</v>
      </c>
      <c r="I1073" s="2" t="s">
        <v>30</v>
      </c>
      <c r="J1073" s="2" t="s">
        <v>3502</v>
      </c>
      <c r="K1073" s="2" t="str">
        <f>"10/12"</f>
        <v>10/12</v>
      </c>
      <c r="L1073" s="2" t="str">
        <f>""</f>
        <v/>
      </c>
      <c r="M1073" s="2" t="str">
        <f>"95-200"</f>
        <v>95-200</v>
      </c>
      <c r="N1073" s="2" t="str">
        <f>"422397788"</f>
        <v>422397788</v>
      </c>
      <c r="O1073" s="2" t="s">
        <v>3503</v>
      </c>
      <c r="P1073" s="2" t="s">
        <v>121</v>
      </c>
    </row>
    <row r="1074" spans="1:16" x14ac:dyDescent="0.25">
      <c r="A1074" s="2">
        <v>14650</v>
      </c>
      <c r="B1074" s="2" t="str">
        <f>"000986001"</f>
        <v>000986001</v>
      </c>
      <c r="C1074" s="2" t="s">
        <v>16</v>
      </c>
      <c r="D1074" s="2" t="s">
        <v>3504</v>
      </c>
      <c r="E1074" s="2" t="s">
        <v>389</v>
      </c>
      <c r="F1074" s="2" t="s">
        <v>3505</v>
      </c>
      <c r="G1074" s="2" t="s">
        <v>3506</v>
      </c>
      <c r="H1074" s="2" t="s">
        <v>3506</v>
      </c>
      <c r="I1074" s="2" t="s">
        <v>30</v>
      </c>
      <c r="J1074" s="2" t="s">
        <v>2125</v>
      </c>
      <c r="K1074" s="2" t="str">
        <f>"2"</f>
        <v>2</v>
      </c>
      <c r="L1074" s="2" t="str">
        <f>"2"</f>
        <v>2</v>
      </c>
      <c r="M1074" s="2" t="str">
        <f>"14-400"</f>
        <v>14-400</v>
      </c>
      <c r="N1074" s="2" t="str">
        <f>"552482432"</f>
        <v>552482432</v>
      </c>
      <c r="O1074" s="2" t="s">
        <v>3507</v>
      </c>
      <c r="P1074" s="2" t="s">
        <v>121</v>
      </c>
    </row>
    <row r="1075" spans="1:16" x14ac:dyDescent="0.25">
      <c r="A1075" s="2">
        <v>17534</v>
      </c>
      <c r="B1075" s="2" t="str">
        <f>"000817675"</f>
        <v>000817675</v>
      </c>
      <c r="C1075" s="2" t="s">
        <v>16</v>
      </c>
      <c r="D1075" s="2" t="s">
        <v>3508</v>
      </c>
      <c r="E1075" s="2" t="s">
        <v>117</v>
      </c>
      <c r="F1075" s="2" t="s">
        <v>1240</v>
      </c>
      <c r="G1075" s="2" t="s">
        <v>1240</v>
      </c>
      <c r="H1075" s="2" t="s">
        <v>1240</v>
      </c>
      <c r="I1075" s="2" t="s">
        <v>30</v>
      </c>
      <c r="J1075" s="2" t="s">
        <v>2423</v>
      </c>
      <c r="K1075" s="2" t="str">
        <f>"108"</f>
        <v>108</v>
      </c>
      <c r="L1075" s="2" t="str">
        <f>""</f>
        <v/>
      </c>
      <c r="M1075" s="2" t="str">
        <f>"41-949"</f>
        <v>41-949</v>
      </c>
      <c r="N1075" s="2" t="str">
        <f>"322879762"</f>
        <v>322879762</v>
      </c>
      <c r="O1075" s="2" t="s">
        <v>3509</v>
      </c>
      <c r="P1075" s="2" t="s">
        <v>121</v>
      </c>
    </row>
    <row r="1076" spans="1:16" x14ac:dyDescent="0.25">
      <c r="A1076" s="2">
        <v>3866</v>
      </c>
      <c r="B1076" s="2" t="str">
        <f>"292381369"</f>
        <v>292381369</v>
      </c>
      <c r="C1076" s="2" t="s">
        <v>16</v>
      </c>
      <c r="D1076" s="2" t="s">
        <v>3510</v>
      </c>
      <c r="E1076" s="2" t="s">
        <v>74</v>
      </c>
      <c r="F1076" s="2" t="s">
        <v>3511</v>
      </c>
      <c r="G1076" s="2" t="s">
        <v>3512</v>
      </c>
      <c r="H1076" s="2" t="s">
        <v>3512</v>
      </c>
      <c r="I1076" s="2" t="s">
        <v>30</v>
      </c>
      <c r="J1076" s="2" t="s">
        <v>1269</v>
      </c>
      <c r="K1076" s="2" t="str">
        <f>"6"</f>
        <v>6</v>
      </c>
      <c r="L1076" s="2" t="str">
        <f>""</f>
        <v/>
      </c>
      <c r="M1076" s="2" t="str">
        <f>"28-400"</f>
        <v>28-400</v>
      </c>
      <c r="N1076" s="2" t="str">
        <f>"413574701"</f>
        <v>413574701</v>
      </c>
      <c r="O1076" s="2" t="s">
        <v>3513</v>
      </c>
      <c r="P1076" s="2" t="s">
        <v>121</v>
      </c>
    </row>
    <row r="1077" spans="1:16" x14ac:dyDescent="0.25">
      <c r="A1077" s="2">
        <v>6265</v>
      </c>
      <c r="B1077" s="2" t="str">
        <f>"000930762"</f>
        <v>000930762</v>
      </c>
      <c r="C1077" s="2" t="s">
        <v>16</v>
      </c>
      <c r="D1077" s="2" t="s">
        <v>3514</v>
      </c>
      <c r="E1077" s="2" t="s">
        <v>18</v>
      </c>
      <c r="F1077" s="2" t="s">
        <v>3240</v>
      </c>
      <c r="G1077" s="2" t="s">
        <v>3515</v>
      </c>
      <c r="H1077" s="2" t="s">
        <v>3515</v>
      </c>
      <c r="I1077" s="2" t="s">
        <v>30</v>
      </c>
      <c r="J1077" s="2" t="s">
        <v>1288</v>
      </c>
      <c r="K1077" s="2" t="str">
        <f>"2"</f>
        <v>2</v>
      </c>
      <c r="L1077" s="2" t="str">
        <f>""</f>
        <v/>
      </c>
      <c r="M1077" s="2" t="str">
        <f>"26-670"</f>
        <v>26-670</v>
      </c>
      <c r="N1077" s="2" t="str">
        <f>"486121716"</f>
        <v>486121716</v>
      </c>
      <c r="O1077" s="2" t="s">
        <v>3516</v>
      </c>
      <c r="P1077" s="2" t="s">
        <v>121</v>
      </c>
    </row>
    <row r="1078" spans="1:16" x14ac:dyDescent="0.25">
      <c r="A1078" s="2">
        <v>88090</v>
      </c>
      <c r="B1078" s="2" t="str">
        <f>"592153191"</f>
        <v>592153191</v>
      </c>
      <c r="C1078" s="2" t="s">
        <v>16</v>
      </c>
      <c r="D1078" s="2" t="s">
        <v>3517</v>
      </c>
      <c r="E1078" s="2" t="s">
        <v>39</v>
      </c>
      <c r="F1078" s="2" t="s">
        <v>334</v>
      </c>
      <c r="G1078" s="2" t="s">
        <v>334</v>
      </c>
      <c r="H1078" s="2" t="s">
        <v>334</v>
      </c>
      <c r="I1078" s="2" t="s">
        <v>30</v>
      </c>
      <c r="J1078" s="2" t="s">
        <v>1139</v>
      </c>
      <c r="K1078" s="2" t="str">
        <f>"47"</f>
        <v>47</v>
      </c>
      <c r="L1078" s="2" t="str">
        <f>""</f>
        <v/>
      </c>
      <c r="M1078" s="2" t="str">
        <f>"97-300"</f>
        <v>97-300</v>
      </c>
      <c r="N1078" s="2" t="str">
        <f>"446465316"</f>
        <v>446465316</v>
      </c>
      <c r="O1078" s="2" t="s">
        <v>3518</v>
      </c>
      <c r="P1078" s="2" t="s">
        <v>121</v>
      </c>
    </row>
    <row r="1079" spans="1:16" x14ac:dyDescent="0.25">
      <c r="A1079" s="2">
        <v>19489</v>
      </c>
      <c r="B1079" s="2" t="str">
        <f>"110081192"</f>
        <v>110081192</v>
      </c>
      <c r="C1079" s="2" t="s">
        <v>16</v>
      </c>
      <c r="D1079" s="2" t="s">
        <v>3519</v>
      </c>
      <c r="E1079" s="2" t="s">
        <v>112</v>
      </c>
      <c r="F1079" s="2" t="s">
        <v>3520</v>
      </c>
      <c r="G1079" s="2" t="s">
        <v>3521</v>
      </c>
      <c r="H1079" s="2" t="s">
        <v>3522</v>
      </c>
      <c r="I1079" s="2" t="s">
        <v>68</v>
      </c>
      <c r="J1079" s="2"/>
      <c r="K1079" s="2" t="str">
        <f>"75"</f>
        <v>75</v>
      </c>
      <c r="L1079" s="2" t="str">
        <f>""</f>
        <v/>
      </c>
      <c r="M1079" s="2" t="str">
        <f>"22-113"</f>
        <v>22-113</v>
      </c>
      <c r="N1079" s="2" t="str">
        <f>"825668088"</f>
        <v>825668088</v>
      </c>
      <c r="O1079" s="2" t="s">
        <v>3523</v>
      </c>
      <c r="P1079" s="2" t="s">
        <v>121</v>
      </c>
    </row>
    <row r="1080" spans="1:16" x14ac:dyDescent="0.25">
      <c r="A1080" s="2">
        <v>15907</v>
      </c>
      <c r="B1080" s="2" t="str">
        <f>"000947455"</f>
        <v>000947455</v>
      </c>
      <c r="C1080" s="2" t="s">
        <v>16</v>
      </c>
      <c r="D1080" s="2" t="s">
        <v>3524</v>
      </c>
      <c r="E1080" s="2" t="s">
        <v>18</v>
      </c>
      <c r="F1080" s="2" t="s">
        <v>990</v>
      </c>
      <c r="G1080" s="2" t="s">
        <v>3525</v>
      </c>
      <c r="H1080" s="2" t="s">
        <v>3525</v>
      </c>
      <c r="I1080" s="2" t="s">
        <v>30</v>
      </c>
      <c r="J1080" s="2" t="s">
        <v>514</v>
      </c>
      <c r="K1080" s="2" t="str">
        <f>"8/10"</f>
        <v>8/10</v>
      </c>
      <c r="L1080" s="2" t="str">
        <f>""</f>
        <v/>
      </c>
      <c r="M1080" s="2" t="str">
        <f>"09-100"</f>
        <v>09-100</v>
      </c>
      <c r="N1080" s="2" t="str">
        <f>"0236622954"</f>
        <v>0236622954</v>
      </c>
      <c r="O1080" s="2" t="s">
        <v>3526</v>
      </c>
      <c r="P1080" s="2" t="s">
        <v>121</v>
      </c>
    </row>
    <row r="1081" spans="1:16" x14ac:dyDescent="0.25">
      <c r="A1081" s="2">
        <v>3899</v>
      </c>
      <c r="B1081" s="2" t="str">
        <f>"000743008"</f>
        <v>000743008</v>
      </c>
      <c r="C1081" s="2" t="s">
        <v>16</v>
      </c>
      <c r="D1081" s="2" t="s">
        <v>3527</v>
      </c>
      <c r="E1081" s="2" t="s">
        <v>416</v>
      </c>
      <c r="F1081" s="2" t="s">
        <v>3528</v>
      </c>
      <c r="G1081" s="2" t="s">
        <v>3529</v>
      </c>
      <c r="H1081" s="2" t="s">
        <v>3529</v>
      </c>
      <c r="I1081" s="2" t="s">
        <v>30</v>
      </c>
      <c r="J1081" s="2" t="s">
        <v>823</v>
      </c>
      <c r="K1081" s="2" t="str">
        <f>"10"</f>
        <v>10</v>
      </c>
      <c r="L1081" s="2" t="str">
        <f>""</f>
        <v/>
      </c>
      <c r="M1081" s="2" t="str">
        <f>"48-200"</f>
        <v>48-200</v>
      </c>
      <c r="N1081" s="2" t="str">
        <f>"774363862"</f>
        <v>774363862</v>
      </c>
      <c r="O1081" s="2" t="s">
        <v>3530</v>
      </c>
      <c r="P1081" s="2" t="s">
        <v>121</v>
      </c>
    </row>
    <row r="1082" spans="1:16" x14ac:dyDescent="0.25">
      <c r="A1082" s="2">
        <v>56259</v>
      </c>
      <c r="B1082" s="2" t="str">
        <f>"000957844"</f>
        <v>000957844</v>
      </c>
      <c r="C1082" s="2" t="s">
        <v>16</v>
      </c>
      <c r="D1082" s="2" t="s">
        <v>3531</v>
      </c>
      <c r="E1082" s="2" t="s">
        <v>80</v>
      </c>
      <c r="F1082" s="2" t="s">
        <v>1105</v>
      </c>
      <c r="G1082" s="2" t="s">
        <v>1106</v>
      </c>
      <c r="H1082" s="2" t="s">
        <v>1106</v>
      </c>
      <c r="I1082" s="2" t="s">
        <v>30</v>
      </c>
      <c r="J1082" s="2" t="s">
        <v>628</v>
      </c>
      <c r="K1082" s="2" t="str">
        <f>"2"</f>
        <v>2</v>
      </c>
      <c r="L1082" s="2" t="str">
        <f>""</f>
        <v/>
      </c>
      <c r="M1082" s="2" t="str">
        <f>"83-000"</f>
        <v>83-000</v>
      </c>
      <c r="N1082" s="2" t="str">
        <f>"586823304"</f>
        <v>586823304</v>
      </c>
      <c r="O1082" s="2" t="s">
        <v>3532</v>
      </c>
      <c r="P1082" s="2" t="s">
        <v>121</v>
      </c>
    </row>
    <row r="1083" spans="1:16" x14ac:dyDescent="0.25">
      <c r="A1083" s="2">
        <v>85743</v>
      </c>
      <c r="B1083" s="2" t="str">
        <f>"000930779"</f>
        <v>000930779</v>
      </c>
      <c r="C1083" s="2" t="s">
        <v>16</v>
      </c>
      <c r="D1083" s="2" t="s">
        <v>3533</v>
      </c>
      <c r="E1083" s="2" t="s">
        <v>18</v>
      </c>
      <c r="F1083" s="2" t="s">
        <v>3534</v>
      </c>
      <c r="G1083" s="2" t="s">
        <v>3535</v>
      </c>
      <c r="H1083" s="2" t="s">
        <v>3535</v>
      </c>
      <c r="I1083" s="2" t="s">
        <v>30</v>
      </c>
      <c r="J1083" s="2" t="s">
        <v>671</v>
      </c>
      <c r="K1083" s="2" t="str">
        <f>"7"</f>
        <v>7</v>
      </c>
      <c r="L1083" s="2" t="str">
        <f>""</f>
        <v/>
      </c>
      <c r="M1083" s="2" t="str">
        <f>"26-400"</f>
        <v>26-400</v>
      </c>
      <c r="N1083" s="2" t="str">
        <f>"486753927"</f>
        <v>486753927</v>
      </c>
      <c r="O1083" s="2" t="s">
        <v>3536</v>
      </c>
      <c r="P1083" s="2" t="s">
        <v>121</v>
      </c>
    </row>
    <row r="1084" spans="1:16" x14ac:dyDescent="0.25">
      <c r="A1084" s="2">
        <v>25924</v>
      </c>
      <c r="B1084" s="2" t="str">
        <f>"060657101"</f>
        <v>060657101</v>
      </c>
      <c r="C1084" s="2" t="s">
        <v>16</v>
      </c>
      <c r="D1084" s="2" t="s">
        <v>3537</v>
      </c>
      <c r="E1084" s="2" t="s">
        <v>112</v>
      </c>
      <c r="F1084" s="2" t="s">
        <v>1670</v>
      </c>
      <c r="G1084" s="2" t="s">
        <v>1671</v>
      </c>
      <c r="H1084" s="2" t="s">
        <v>1671</v>
      </c>
      <c r="I1084" s="2" t="s">
        <v>30</v>
      </c>
      <c r="J1084" s="2" t="s">
        <v>3538</v>
      </c>
      <c r="K1084" s="2" t="str">
        <f>"19"</f>
        <v>19</v>
      </c>
      <c r="L1084" s="2" t="str">
        <f>""</f>
        <v/>
      </c>
      <c r="M1084" s="2" t="str">
        <f>"24-100"</f>
        <v>24-100</v>
      </c>
      <c r="N1084" s="2" t="str">
        <f>"818864796"</f>
        <v>818864796</v>
      </c>
      <c r="O1084" s="2" t="s">
        <v>3539</v>
      </c>
      <c r="P1084" s="2" t="s">
        <v>121</v>
      </c>
    </row>
    <row r="1085" spans="1:16" x14ac:dyDescent="0.25">
      <c r="A1085" s="2">
        <v>14317</v>
      </c>
      <c r="B1085" s="2" t="str">
        <f>"000947449"</f>
        <v>000947449</v>
      </c>
      <c r="C1085" s="2" t="s">
        <v>16</v>
      </c>
      <c r="D1085" s="2" t="s">
        <v>3540</v>
      </c>
      <c r="E1085" s="2" t="s">
        <v>18</v>
      </c>
      <c r="F1085" s="2" t="s">
        <v>1694</v>
      </c>
      <c r="G1085" s="2" t="s">
        <v>1695</v>
      </c>
      <c r="H1085" s="2" t="s">
        <v>1695</v>
      </c>
      <c r="I1085" s="2" t="s">
        <v>30</v>
      </c>
      <c r="J1085" s="2" t="s">
        <v>1114</v>
      </c>
      <c r="K1085" s="2" t="str">
        <f>"20"</f>
        <v>20</v>
      </c>
      <c r="L1085" s="2" t="str">
        <f>""</f>
        <v/>
      </c>
      <c r="M1085" s="2" t="str">
        <f>"06-100"</f>
        <v>06-100</v>
      </c>
      <c r="N1085" s="2" t="str">
        <f>"236925591"</f>
        <v>236925591</v>
      </c>
      <c r="O1085" s="2" t="s">
        <v>3541</v>
      </c>
      <c r="P1085" s="2" t="s">
        <v>121</v>
      </c>
    </row>
    <row r="1086" spans="1:16" x14ac:dyDescent="0.25">
      <c r="A1086" s="2">
        <v>71558</v>
      </c>
      <c r="B1086" s="2" t="str">
        <f>"000708265"</f>
        <v>000708265</v>
      </c>
      <c r="C1086" s="2" t="s">
        <v>16</v>
      </c>
      <c r="D1086" s="2" t="s">
        <v>310</v>
      </c>
      <c r="E1086" s="2" t="s">
        <v>157</v>
      </c>
      <c r="F1086" s="2" t="s">
        <v>162</v>
      </c>
      <c r="G1086" s="2" t="s">
        <v>1020</v>
      </c>
      <c r="H1086" s="2" t="s">
        <v>1020</v>
      </c>
      <c r="I1086" s="2" t="s">
        <v>30</v>
      </c>
      <c r="J1086" s="2" t="s">
        <v>3542</v>
      </c>
      <c r="K1086" s="2" t="str">
        <f>"2"</f>
        <v>2</v>
      </c>
      <c r="L1086" s="2" t="str">
        <f>""</f>
        <v/>
      </c>
      <c r="M1086" s="2" t="str">
        <f>"62-040"</f>
        <v>62-040</v>
      </c>
      <c r="N1086" s="2" t="str">
        <f>"612245168"</f>
        <v>612245168</v>
      </c>
      <c r="O1086" s="2" t="s">
        <v>3543</v>
      </c>
      <c r="P1086" s="2" t="s">
        <v>121</v>
      </c>
    </row>
    <row r="1087" spans="1:16" x14ac:dyDescent="0.25">
      <c r="A1087" s="2">
        <v>17757</v>
      </c>
      <c r="B1087" s="2" t="str">
        <f>"000724614"</f>
        <v>000724614</v>
      </c>
      <c r="C1087" s="2" t="s">
        <v>16</v>
      </c>
      <c r="D1087" s="2" t="s">
        <v>3544</v>
      </c>
      <c r="E1087" s="2" t="s">
        <v>117</v>
      </c>
      <c r="F1087" s="2" t="s">
        <v>2048</v>
      </c>
      <c r="G1087" s="2" t="s">
        <v>3545</v>
      </c>
      <c r="H1087" s="2" t="s">
        <v>3545</v>
      </c>
      <c r="I1087" s="2" t="s">
        <v>30</v>
      </c>
      <c r="J1087" s="2" t="s">
        <v>1855</v>
      </c>
      <c r="K1087" s="2" t="str">
        <f>"37"</f>
        <v>37</v>
      </c>
      <c r="L1087" s="2" t="str">
        <f>""</f>
        <v/>
      </c>
      <c r="M1087" s="2" t="str">
        <f>"44-120"</f>
        <v>44-120</v>
      </c>
      <c r="N1087" s="2" t="str">
        <f>"322333223"</f>
        <v>322333223</v>
      </c>
      <c r="O1087" s="2" t="s">
        <v>3546</v>
      </c>
      <c r="P1087" s="2" t="s">
        <v>121</v>
      </c>
    </row>
    <row r="1088" spans="1:16" x14ac:dyDescent="0.25">
      <c r="A1088" s="2">
        <v>6308</v>
      </c>
      <c r="B1088" s="2" t="str">
        <f>"672023555"</f>
        <v>672023555</v>
      </c>
      <c r="C1088" s="2" t="s">
        <v>16</v>
      </c>
      <c r="D1088" s="2" t="s">
        <v>3547</v>
      </c>
      <c r="E1088" s="2" t="s">
        <v>18</v>
      </c>
      <c r="F1088" s="2" t="s">
        <v>502</v>
      </c>
      <c r="G1088" s="2" t="s">
        <v>502</v>
      </c>
      <c r="H1088" s="2" t="s">
        <v>502</v>
      </c>
      <c r="I1088" s="2" t="s">
        <v>30</v>
      </c>
      <c r="J1088" s="2" t="s">
        <v>1124</v>
      </c>
      <c r="K1088" s="2" t="str">
        <f>"15"</f>
        <v>15</v>
      </c>
      <c r="L1088" s="2" t="str">
        <f>""</f>
        <v/>
      </c>
      <c r="M1088" s="2" t="str">
        <f>"26-600"</f>
        <v>26-600</v>
      </c>
      <c r="N1088" s="2" t="str">
        <f>"483633066"</f>
        <v>483633066</v>
      </c>
      <c r="O1088" s="2" t="s">
        <v>3548</v>
      </c>
      <c r="P1088" s="2" t="s">
        <v>121</v>
      </c>
    </row>
    <row r="1089" spans="1:16" x14ac:dyDescent="0.25">
      <c r="A1089" s="2">
        <v>8572</v>
      </c>
      <c r="B1089" s="2" t="str">
        <f>"001045849"</f>
        <v>001045849</v>
      </c>
      <c r="C1089" s="2" t="s">
        <v>16</v>
      </c>
      <c r="D1089" s="2" t="s">
        <v>3549</v>
      </c>
      <c r="E1089" s="2" t="s">
        <v>39</v>
      </c>
      <c r="F1089" s="2" t="s">
        <v>3550</v>
      </c>
      <c r="G1089" s="2" t="s">
        <v>3551</v>
      </c>
      <c r="H1089" s="2" t="s">
        <v>3551</v>
      </c>
      <c r="I1089" s="2" t="s">
        <v>30</v>
      </c>
      <c r="J1089" s="2" t="s">
        <v>1283</v>
      </c>
      <c r="K1089" s="2" t="str">
        <f>"21"</f>
        <v>21</v>
      </c>
      <c r="L1089" s="2" t="str">
        <f>""</f>
        <v/>
      </c>
      <c r="M1089" s="2" t="str">
        <f>"97-500"</f>
        <v>97-500</v>
      </c>
      <c r="N1089" s="2" t="str">
        <f>"446834114"</f>
        <v>446834114</v>
      </c>
      <c r="O1089" s="2" t="s">
        <v>3552</v>
      </c>
      <c r="P1089" s="2" t="s">
        <v>121</v>
      </c>
    </row>
    <row r="1090" spans="1:16" x14ac:dyDescent="0.25">
      <c r="A1090" s="2">
        <v>17349</v>
      </c>
      <c r="B1090" s="2" t="str">
        <f>"000713792"</f>
        <v>000713792</v>
      </c>
      <c r="C1090" s="2" t="s">
        <v>16</v>
      </c>
      <c r="D1090" s="2" t="s">
        <v>3553</v>
      </c>
      <c r="E1090" s="2" t="s">
        <v>112</v>
      </c>
      <c r="F1090" s="2" t="s">
        <v>3554</v>
      </c>
      <c r="G1090" s="2" t="s">
        <v>3555</v>
      </c>
      <c r="H1090" s="2" t="s">
        <v>3555</v>
      </c>
      <c r="I1090" s="2" t="s">
        <v>30</v>
      </c>
      <c r="J1090" s="2" t="s">
        <v>1255</v>
      </c>
      <c r="K1090" s="2" t="str">
        <f>"6"</f>
        <v>6</v>
      </c>
      <c r="L1090" s="2" t="str">
        <f>""</f>
        <v/>
      </c>
      <c r="M1090" s="2" t="str">
        <f>"21-300"</f>
        <v>21-300</v>
      </c>
      <c r="N1090" s="2" t="str">
        <f>"0833520309"</f>
        <v>0833520309</v>
      </c>
      <c r="O1090" s="2" t="s">
        <v>3556</v>
      </c>
      <c r="P1090" s="2" t="s">
        <v>121</v>
      </c>
    </row>
    <row r="1091" spans="1:16" x14ac:dyDescent="0.25">
      <c r="A1091" s="2">
        <v>10570</v>
      </c>
      <c r="B1091" s="2" t="str">
        <f>"410194596"</f>
        <v>410194596</v>
      </c>
      <c r="C1091" s="2" t="s">
        <v>16</v>
      </c>
      <c r="D1091" s="2" t="s">
        <v>3557</v>
      </c>
      <c r="E1091" s="2" t="s">
        <v>157</v>
      </c>
      <c r="F1091" s="2" t="s">
        <v>3558</v>
      </c>
      <c r="G1091" s="2" t="s">
        <v>3559</v>
      </c>
      <c r="H1091" s="2" t="s">
        <v>3559</v>
      </c>
      <c r="I1091" s="2" t="s">
        <v>30</v>
      </c>
      <c r="J1091" s="2" t="s">
        <v>3560</v>
      </c>
      <c r="K1091" s="2" t="str">
        <f>"9e"</f>
        <v>9e</v>
      </c>
      <c r="L1091" s="2" t="str">
        <f>""</f>
        <v/>
      </c>
      <c r="M1091" s="2" t="str">
        <f>"63-900"</f>
        <v>63-900</v>
      </c>
      <c r="N1091" s="2" t="str">
        <f>"656141854"</f>
        <v>656141854</v>
      </c>
      <c r="O1091" s="2" t="s">
        <v>3561</v>
      </c>
      <c r="P1091" s="2" t="s">
        <v>121</v>
      </c>
    </row>
    <row r="1092" spans="1:16" x14ac:dyDescent="0.25">
      <c r="A1092" s="2">
        <v>81062</v>
      </c>
      <c r="B1092" s="2" t="str">
        <f>"000739515"</f>
        <v>000739515</v>
      </c>
      <c r="C1092" s="2" t="s">
        <v>16</v>
      </c>
      <c r="D1092" s="2" t="s">
        <v>3562</v>
      </c>
      <c r="E1092" s="2" t="s">
        <v>39</v>
      </c>
      <c r="F1092" s="2" t="s">
        <v>3563</v>
      </c>
      <c r="G1092" s="2" t="s">
        <v>3564</v>
      </c>
      <c r="H1092" s="2" t="s">
        <v>3564</v>
      </c>
      <c r="I1092" s="2" t="s">
        <v>30</v>
      </c>
      <c r="J1092" s="2" t="s">
        <v>2050</v>
      </c>
      <c r="K1092" s="2" t="str">
        <f>"8"</f>
        <v>8</v>
      </c>
      <c r="L1092" s="2" t="str">
        <f>""</f>
        <v/>
      </c>
      <c r="M1092" s="2" t="str">
        <f>"96-200"</f>
        <v>96-200</v>
      </c>
      <c r="N1092" s="2" t="str">
        <f>"729292163"</f>
        <v>729292163</v>
      </c>
      <c r="O1092" s="2" t="s">
        <v>3565</v>
      </c>
      <c r="P1092" s="2" t="s">
        <v>121</v>
      </c>
    </row>
    <row r="1093" spans="1:16" x14ac:dyDescent="0.25">
      <c r="A1093" s="2">
        <v>19490</v>
      </c>
      <c r="B1093" s="2" t="str">
        <f>"110099252"</f>
        <v>110099252</v>
      </c>
      <c r="C1093" s="2" t="s">
        <v>16</v>
      </c>
      <c r="D1093" s="2" t="s">
        <v>3566</v>
      </c>
      <c r="E1093" s="2" t="s">
        <v>112</v>
      </c>
      <c r="F1093" s="2" t="s">
        <v>3520</v>
      </c>
      <c r="G1093" s="2" t="s">
        <v>3567</v>
      </c>
      <c r="H1093" s="2" t="s">
        <v>3567</v>
      </c>
      <c r="I1093" s="2" t="s">
        <v>30</v>
      </c>
      <c r="J1093" s="2" t="s">
        <v>500</v>
      </c>
      <c r="K1093" s="2" t="str">
        <f>"24"</f>
        <v>24</v>
      </c>
      <c r="L1093" s="2" t="str">
        <f>"b"</f>
        <v>b</v>
      </c>
      <c r="M1093" s="2" t="str">
        <f>"22-170"</f>
        <v>22-170</v>
      </c>
      <c r="N1093" s="2" t="str">
        <f>"825663000"</f>
        <v>825663000</v>
      </c>
      <c r="O1093" s="2" t="s">
        <v>3568</v>
      </c>
      <c r="P1093" s="2" t="s">
        <v>121</v>
      </c>
    </row>
    <row r="1094" spans="1:16" x14ac:dyDescent="0.25">
      <c r="A1094" s="2">
        <v>23207</v>
      </c>
      <c r="B1094" s="2" t="str">
        <f>"001238755"</f>
        <v>001238755</v>
      </c>
      <c r="C1094" s="2" t="s">
        <v>16</v>
      </c>
      <c r="D1094" s="2" t="s">
        <v>3569</v>
      </c>
      <c r="E1094" s="2" t="s">
        <v>157</v>
      </c>
      <c r="F1094" s="2" t="s">
        <v>3453</v>
      </c>
      <c r="G1094" s="2" t="s">
        <v>3570</v>
      </c>
      <c r="H1094" s="2" t="s">
        <v>3570</v>
      </c>
      <c r="I1094" s="2" t="s">
        <v>30</v>
      </c>
      <c r="J1094" s="2" t="s">
        <v>628</v>
      </c>
      <c r="K1094" s="2" t="str">
        <f>"1"</f>
        <v>1</v>
      </c>
      <c r="L1094" s="2" t="str">
        <f>""</f>
        <v/>
      </c>
      <c r="M1094" s="2" t="str">
        <f>"64-610"</f>
        <v>64-610</v>
      </c>
      <c r="N1094" s="2" t="str">
        <f>"672618316"</f>
        <v>672618316</v>
      </c>
      <c r="O1094" s="2" t="s">
        <v>3571</v>
      </c>
      <c r="P1094" s="2" t="s">
        <v>121</v>
      </c>
    </row>
    <row r="1095" spans="1:16" x14ac:dyDescent="0.25">
      <c r="A1095" s="2">
        <v>38464</v>
      </c>
      <c r="B1095" s="2" t="str">
        <f>"690691053"</f>
        <v>690691053</v>
      </c>
      <c r="C1095" s="2" t="s">
        <v>16</v>
      </c>
      <c r="D1095" s="2" t="s">
        <v>3572</v>
      </c>
      <c r="E1095" s="2" t="s">
        <v>101</v>
      </c>
      <c r="F1095" s="2" t="s">
        <v>697</v>
      </c>
      <c r="G1095" s="2" t="s">
        <v>1961</v>
      </c>
      <c r="H1095" s="2" t="s">
        <v>1961</v>
      </c>
      <c r="I1095" s="2" t="s">
        <v>30</v>
      </c>
      <c r="J1095" s="2" t="s">
        <v>2428</v>
      </c>
      <c r="K1095" s="2" t="str">
        <f>"3"</f>
        <v>3</v>
      </c>
      <c r="L1095" s="2" t="str">
        <f>""</f>
        <v/>
      </c>
      <c r="M1095" s="2" t="str">
        <f>"39-100"</f>
        <v>39-100</v>
      </c>
      <c r="N1095" s="2" t="str">
        <f>"172218457"</f>
        <v>172218457</v>
      </c>
      <c r="O1095" s="2" t="s">
        <v>3573</v>
      </c>
      <c r="P1095" s="2" t="s">
        <v>121</v>
      </c>
    </row>
    <row r="1096" spans="1:16" hidden="1" x14ac:dyDescent="0.25">
      <c r="A1096">
        <v>57711</v>
      </c>
      <c r="B1096" t="str">
        <f>"221765065"</f>
        <v>221765065</v>
      </c>
      <c r="C1096" t="s">
        <v>16</v>
      </c>
      <c r="D1096" t="s">
        <v>3574</v>
      </c>
      <c r="E1096" t="s">
        <v>80</v>
      </c>
      <c r="F1096" t="s">
        <v>1105</v>
      </c>
      <c r="G1096" t="s">
        <v>1106</v>
      </c>
      <c r="H1096" t="s">
        <v>3575</v>
      </c>
      <c r="I1096" t="s">
        <v>1835</v>
      </c>
      <c r="J1096" t="s">
        <v>3576</v>
      </c>
      <c r="K1096" t="str">
        <f>"32"</f>
        <v>32</v>
      </c>
      <c r="L1096" t="str">
        <f>""</f>
        <v/>
      </c>
      <c r="M1096" t="str">
        <f>"83-010"</f>
        <v>83-010</v>
      </c>
      <c r="N1096" t="str">
        <f>"570802569"</f>
        <v>570802569</v>
      </c>
      <c r="O1096" t="s">
        <v>3577</v>
      </c>
      <c r="P1096" t="s">
        <v>24</v>
      </c>
    </row>
    <row r="1097" spans="1:16" x14ac:dyDescent="0.25">
      <c r="A1097" s="2">
        <v>49275</v>
      </c>
      <c r="B1097" s="2" t="str">
        <f>"000727860"</f>
        <v>000727860</v>
      </c>
      <c r="C1097" s="2" t="s">
        <v>16</v>
      </c>
      <c r="D1097" s="2" t="s">
        <v>3578</v>
      </c>
      <c r="E1097" s="2" t="s">
        <v>117</v>
      </c>
      <c r="F1097" s="2" t="s">
        <v>216</v>
      </c>
      <c r="G1097" s="2" t="s">
        <v>216</v>
      </c>
      <c r="H1097" s="2" t="s">
        <v>216</v>
      </c>
      <c r="I1097" s="2" t="s">
        <v>30</v>
      </c>
      <c r="J1097" s="2" t="s">
        <v>544</v>
      </c>
      <c r="K1097" s="2" t="str">
        <f>"6"</f>
        <v>6</v>
      </c>
      <c r="L1097" s="2" t="str">
        <f>""</f>
        <v/>
      </c>
      <c r="M1097" s="2" t="str">
        <f>"41-705"</f>
        <v>41-705</v>
      </c>
      <c r="N1097" s="2" t="str">
        <f>"322487306"</f>
        <v>322487306</v>
      </c>
      <c r="O1097" s="2" t="s">
        <v>3579</v>
      </c>
      <c r="P1097" s="2" t="s">
        <v>121</v>
      </c>
    </row>
    <row r="1098" spans="1:16" x14ac:dyDescent="0.25">
      <c r="A1098" s="2">
        <v>30638</v>
      </c>
      <c r="B1098" s="2" t="str">
        <f>"221759225"</f>
        <v>221759225</v>
      </c>
      <c r="C1098" s="2" t="s">
        <v>16</v>
      </c>
      <c r="D1098" s="2" t="s">
        <v>3580</v>
      </c>
      <c r="E1098" s="2" t="s">
        <v>80</v>
      </c>
      <c r="F1098" s="2" t="s">
        <v>145</v>
      </c>
      <c r="G1098" s="2" t="s">
        <v>395</v>
      </c>
      <c r="H1098" s="2" t="s">
        <v>395</v>
      </c>
      <c r="I1098" s="2" t="s">
        <v>30</v>
      </c>
      <c r="J1098" s="2" t="s">
        <v>3581</v>
      </c>
      <c r="K1098" s="2" t="str">
        <f>"3"</f>
        <v>3</v>
      </c>
      <c r="L1098" s="2" t="str">
        <f>""</f>
        <v/>
      </c>
      <c r="M1098" s="2" t="str">
        <f>"84-230"</f>
        <v>84-230</v>
      </c>
      <c r="N1098" s="2" t="str">
        <f>"586710956"</f>
        <v>586710956</v>
      </c>
      <c r="O1098" s="2" t="s">
        <v>3582</v>
      </c>
      <c r="P1098" s="2" t="s">
        <v>121</v>
      </c>
    </row>
    <row r="1099" spans="1:16" x14ac:dyDescent="0.25">
      <c r="A1099" s="2">
        <v>29395</v>
      </c>
      <c r="B1099" s="2" t="str">
        <f>"241800515"</f>
        <v>241800515</v>
      </c>
      <c r="C1099" s="2" t="s">
        <v>16</v>
      </c>
      <c r="D1099" s="2" t="s">
        <v>3583</v>
      </c>
      <c r="E1099" s="2" t="s">
        <v>117</v>
      </c>
      <c r="F1099" s="2" t="s">
        <v>350</v>
      </c>
      <c r="G1099" s="2" t="s">
        <v>350</v>
      </c>
      <c r="H1099" s="2" t="s">
        <v>350</v>
      </c>
      <c r="I1099" s="2" t="s">
        <v>30</v>
      </c>
      <c r="J1099" s="2" t="s">
        <v>188</v>
      </c>
      <c r="K1099" s="2" t="str">
        <f>"55"</f>
        <v>55</v>
      </c>
      <c r="L1099" s="2" t="str">
        <f>""</f>
        <v/>
      </c>
      <c r="M1099" s="2" t="str">
        <f>"44-200"</f>
        <v>44-200</v>
      </c>
      <c r="N1099" s="2" t="str">
        <f>"324223935"</f>
        <v>324223935</v>
      </c>
      <c r="O1099" s="2" t="s">
        <v>3584</v>
      </c>
      <c r="P1099" s="2" t="s">
        <v>121</v>
      </c>
    </row>
    <row r="1100" spans="1:16" x14ac:dyDescent="0.25">
      <c r="A1100" s="2">
        <v>68031</v>
      </c>
      <c r="B1100" s="2" t="str">
        <f>"001058355"</f>
        <v>001058355</v>
      </c>
      <c r="C1100" s="2" t="s">
        <v>16</v>
      </c>
      <c r="D1100" s="2" t="s">
        <v>3585</v>
      </c>
      <c r="E1100" s="2" t="s">
        <v>181</v>
      </c>
      <c r="F1100" s="2" t="s">
        <v>2796</v>
      </c>
      <c r="G1100" s="2" t="s">
        <v>2797</v>
      </c>
      <c r="H1100" s="2" t="s">
        <v>2797</v>
      </c>
      <c r="I1100" s="2" t="s">
        <v>30</v>
      </c>
      <c r="J1100" s="2" t="s">
        <v>3586</v>
      </c>
      <c r="K1100" s="2" t="str">
        <f>"54A"</f>
        <v>54A</v>
      </c>
      <c r="L1100" s="2" t="str">
        <f>""</f>
        <v/>
      </c>
      <c r="M1100" s="2" t="str">
        <f>"87-500"</f>
        <v>87-500</v>
      </c>
      <c r="N1100" s="2" t="str">
        <f>"0542805048"</f>
        <v>0542805048</v>
      </c>
      <c r="O1100" s="2" t="s">
        <v>3587</v>
      </c>
      <c r="P1100" s="2" t="s">
        <v>121</v>
      </c>
    </row>
    <row r="1101" spans="1:16" x14ac:dyDescent="0.25">
      <c r="A1101" s="2">
        <v>75948</v>
      </c>
      <c r="B1101" s="2" t="str">
        <f>"292455949"</f>
        <v>292455949</v>
      </c>
      <c r="C1101" s="2" t="s">
        <v>16</v>
      </c>
      <c r="D1101" s="2" t="s">
        <v>3588</v>
      </c>
      <c r="E1101" s="2" t="s">
        <v>74</v>
      </c>
      <c r="F1101" s="2" t="s">
        <v>1433</v>
      </c>
      <c r="G1101" s="2" t="s">
        <v>1888</v>
      </c>
      <c r="H1101" s="2" t="s">
        <v>1888</v>
      </c>
      <c r="I1101" s="2" t="s">
        <v>30</v>
      </c>
      <c r="J1101" s="2" t="s">
        <v>138</v>
      </c>
      <c r="K1101" s="2" t="str">
        <f>"34"</f>
        <v>34</v>
      </c>
      <c r="L1101" s="2" t="str">
        <f>""</f>
        <v/>
      </c>
      <c r="M1101" s="2" t="str">
        <f>"27-600"</f>
        <v>27-600</v>
      </c>
      <c r="N1101" s="2" t="str">
        <f>"158323204"</f>
        <v>158323204</v>
      </c>
      <c r="O1101" s="2" t="s">
        <v>3589</v>
      </c>
      <c r="P1101" s="2" t="s">
        <v>121</v>
      </c>
    </row>
    <row r="1102" spans="1:16" x14ac:dyDescent="0.25">
      <c r="A1102" s="2">
        <v>66142</v>
      </c>
      <c r="B1102" s="2" t="str">
        <f>"711563891"</f>
        <v>711563891</v>
      </c>
      <c r="C1102" s="2" t="s">
        <v>16</v>
      </c>
      <c r="D1102" s="2" t="s">
        <v>3590</v>
      </c>
      <c r="E1102" s="2" t="s">
        <v>18</v>
      </c>
      <c r="F1102" s="2" t="s">
        <v>363</v>
      </c>
      <c r="G1102" s="2" t="s">
        <v>363</v>
      </c>
      <c r="H1102" s="2" t="s">
        <v>363</v>
      </c>
      <c r="I1102" s="2" t="s">
        <v>30</v>
      </c>
      <c r="J1102" s="2" t="s">
        <v>3591</v>
      </c>
      <c r="K1102" s="2" t="str">
        <f>"6"</f>
        <v>6</v>
      </c>
      <c r="L1102" s="2" t="str">
        <f>""</f>
        <v/>
      </c>
      <c r="M1102" s="2" t="str">
        <f>"08-110"</f>
        <v>08-110</v>
      </c>
      <c r="N1102" s="2" t="str">
        <f>"257943304"</f>
        <v>257943304</v>
      </c>
      <c r="O1102" s="2" t="s">
        <v>3592</v>
      </c>
      <c r="P1102" s="2" t="s">
        <v>121</v>
      </c>
    </row>
    <row r="1103" spans="1:16" x14ac:dyDescent="0.25">
      <c r="A1103" s="2">
        <v>86407</v>
      </c>
      <c r="B1103" s="2" t="str">
        <f>"000817681"</f>
        <v>000817681</v>
      </c>
      <c r="C1103" s="2" t="s">
        <v>16</v>
      </c>
      <c r="D1103" s="2" t="s">
        <v>3593</v>
      </c>
      <c r="E1103" s="2" t="s">
        <v>117</v>
      </c>
      <c r="F1103" s="2" t="s">
        <v>892</v>
      </c>
      <c r="G1103" s="2" t="s">
        <v>892</v>
      </c>
      <c r="H1103" s="2" t="s">
        <v>892</v>
      </c>
      <c r="I1103" s="2" t="s">
        <v>30</v>
      </c>
      <c r="J1103" s="2" t="s">
        <v>3594</v>
      </c>
      <c r="K1103" s="2" t="str">
        <f>"2a"</f>
        <v>2a</v>
      </c>
      <c r="L1103" s="2" t="str">
        <f>""</f>
        <v/>
      </c>
      <c r="M1103" s="2" t="str">
        <f>"41-100"</f>
        <v>41-100</v>
      </c>
      <c r="N1103" s="2" t="str">
        <f>"326086565"</f>
        <v>326086565</v>
      </c>
      <c r="O1103" s="2" t="s">
        <v>3595</v>
      </c>
      <c r="P1103" s="2" t="s">
        <v>121</v>
      </c>
    </row>
    <row r="1104" spans="1:16" x14ac:dyDescent="0.25">
      <c r="A1104" s="2">
        <v>81203</v>
      </c>
      <c r="B1104" s="2" t="str">
        <f>"000734937"</f>
        <v>000734937</v>
      </c>
      <c r="C1104" s="2" t="s">
        <v>16</v>
      </c>
      <c r="D1104" s="2" t="s">
        <v>3596</v>
      </c>
      <c r="E1104" s="2" t="s">
        <v>39</v>
      </c>
      <c r="F1104" s="2" t="s">
        <v>1267</v>
      </c>
      <c r="G1104" s="2" t="s">
        <v>1268</v>
      </c>
      <c r="H1104" s="2" t="s">
        <v>1268</v>
      </c>
      <c r="I1104" s="2" t="s">
        <v>30</v>
      </c>
      <c r="J1104" s="2" t="s">
        <v>3597</v>
      </c>
      <c r="K1104" s="2" t="str">
        <f>"3"</f>
        <v>3</v>
      </c>
      <c r="L1104" s="2" t="str">
        <f>""</f>
        <v/>
      </c>
      <c r="M1104" s="2" t="str">
        <f>"98-200"</f>
        <v>98-200</v>
      </c>
      <c r="N1104" s="2" t="str">
        <f>"438224270"</f>
        <v>438224270</v>
      </c>
      <c r="O1104" s="2" t="s">
        <v>3598</v>
      </c>
      <c r="P1104" s="2" t="s">
        <v>121</v>
      </c>
    </row>
    <row r="1105" spans="1:16" x14ac:dyDescent="0.25">
      <c r="A1105" s="2">
        <v>17457</v>
      </c>
      <c r="B1105" s="2" t="str">
        <f>"000941671"</f>
        <v>000941671</v>
      </c>
      <c r="C1105" s="2" t="s">
        <v>16</v>
      </c>
      <c r="D1105" s="2" t="s">
        <v>3599</v>
      </c>
      <c r="E1105" s="2" t="s">
        <v>18</v>
      </c>
      <c r="F1105" s="2" t="s">
        <v>3600</v>
      </c>
      <c r="G1105" s="2" t="s">
        <v>3601</v>
      </c>
      <c r="H1105" s="2" t="s">
        <v>3601</v>
      </c>
      <c r="I1105" s="2" t="s">
        <v>30</v>
      </c>
      <c r="J1105" s="2" t="s">
        <v>444</v>
      </c>
      <c r="K1105" s="2" t="str">
        <f>"8b"</f>
        <v>8b</v>
      </c>
      <c r="L1105" s="2" t="str">
        <f>""</f>
        <v/>
      </c>
      <c r="M1105" s="2" t="str">
        <f>"09-200"</f>
        <v>09-200</v>
      </c>
      <c r="N1105" s="2" t="str">
        <f>"242752994"</f>
        <v>242752994</v>
      </c>
      <c r="O1105" s="2" t="s">
        <v>3602</v>
      </c>
      <c r="P1105" s="2" t="s">
        <v>121</v>
      </c>
    </row>
    <row r="1106" spans="1:16" x14ac:dyDescent="0.25">
      <c r="A1106" s="2">
        <v>5783</v>
      </c>
      <c r="B1106" s="2" t="str">
        <f>"001014582"</f>
        <v>001014582</v>
      </c>
      <c r="C1106" s="2" t="s">
        <v>16</v>
      </c>
      <c r="D1106" s="2" t="s">
        <v>3603</v>
      </c>
      <c r="E1106" s="2" t="s">
        <v>74</v>
      </c>
      <c r="F1106" s="2" t="s">
        <v>1295</v>
      </c>
      <c r="G1106" s="2" t="s">
        <v>1296</v>
      </c>
      <c r="H1106" s="2" t="s">
        <v>1296</v>
      </c>
      <c r="I1106" s="2" t="s">
        <v>30</v>
      </c>
      <c r="J1106" s="2" t="s">
        <v>3604</v>
      </c>
      <c r="K1106" s="2" t="str">
        <f>"1"</f>
        <v>1</v>
      </c>
      <c r="L1106" s="2" t="str">
        <f>""</f>
        <v/>
      </c>
      <c r="M1106" s="2" t="str">
        <f>"26-110"</f>
        <v>26-110</v>
      </c>
      <c r="N1106" s="2" t="str">
        <f>"412530686"</f>
        <v>412530686</v>
      </c>
      <c r="O1106" s="2" t="s">
        <v>3605</v>
      </c>
      <c r="P1106" s="2" t="s">
        <v>121</v>
      </c>
    </row>
    <row r="1107" spans="1:16" x14ac:dyDescent="0.25">
      <c r="A1107" s="2">
        <v>70251</v>
      </c>
      <c r="B1107" s="2" t="str">
        <f>"000739455"</f>
        <v>000739455</v>
      </c>
      <c r="C1107" s="2" t="s">
        <v>16</v>
      </c>
      <c r="D1107" s="2" t="s">
        <v>3606</v>
      </c>
      <c r="E1107" s="2" t="s">
        <v>39</v>
      </c>
      <c r="F1107" s="2" t="s">
        <v>857</v>
      </c>
      <c r="G1107" s="2" t="s">
        <v>857</v>
      </c>
      <c r="H1107" s="2" t="s">
        <v>857</v>
      </c>
      <c r="I1107" s="2" t="s">
        <v>30</v>
      </c>
      <c r="J1107" s="2" t="s">
        <v>3607</v>
      </c>
      <c r="K1107" s="2" t="str">
        <f>"6"</f>
        <v>6</v>
      </c>
      <c r="L1107" s="2" t="str">
        <f>""</f>
        <v/>
      </c>
      <c r="M1107" s="2" t="str">
        <f>"96-100"</f>
        <v>96-100</v>
      </c>
      <c r="N1107" s="2" t="str">
        <f>"468332828"</f>
        <v>468332828</v>
      </c>
      <c r="O1107" s="2" t="s">
        <v>3608</v>
      </c>
      <c r="P1107" s="2" t="s">
        <v>121</v>
      </c>
    </row>
    <row r="1108" spans="1:16" x14ac:dyDescent="0.25">
      <c r="A1108" s="2">
        <v>84688</v>
      </c>
      <c r="B1108" s="2" t="str">
        <f>"211026370"</f>
        <v>211026370</v>
      </c>
      <c r="C1108" s="2" t="s">
        <v>16</v>
      </c>
      <c r="D1108" s="2" t="s">
        <v>3609</v>
      </c>
      <c r="E1108" s="2" t="s">
        <v>240</v>
      </c>
      <c r="F1108" s="2" t="s">
        <v>3610</v>
      </c>
      <c r="G1108" s="2" t="s">
        <v>3611</v>
      </c>
      <c r="H1108" s="2" t="s">
        <v>3611</v>
      </c>
      <c r="I1108" s="2" t="s">
        <v>30</v>
      </c>
      <c r="J1108" s="2" t="s">
        <v>3279</v>
      </c>
      <c r="K1108" s="2" t="str">
        <f>"28"</f>
        <v>28</v>
      </c>
      <c r="L1108" s="2" t="str">
        <f>""</f>
        <v/>
      </c>
      <c r="M1108" s="2" t="str">
        <f>"69-100"</f>
        <v>69-100</v>
      </c>
      <c r="N1108" s="2" t="str">
        <f>"957582299"</f>
        <v>957582299</v>
      </c>
      <c r="O1108" s="2" t="s">
        <v>3612</v>
      </c>
      <c r="P1108" s="2" t="s">
        <v>121</v>
      </c>
    </row>
    <row r="1109" spans="1:16" x14ac:dyDescent="0.25">
      <c r="A1109" s="2">
        <v>25802</v>
      </c>
      <c r="B1109" s="2" t="str">
        <f>"310508603"</f>
        <v>310508603</v>
      </c>
      <c r="C1109" s="2" t="s">
        <v>16</v>
      </c>
      <c r="D1109" s="2" t="s">
        <v>3613</v>
      </c>
      <c r="E1109" s="2" t="s">
        <v>157</v>
      </c>
      <c r="F1109" s="2" t="s">
        <v>3614</v>
      </c>
      <c r="G1109" s="2" t="s">
        <v>3615</v>
      </c>
      <c r="H1109" s="2" t="s">
        <v>3615</v>
      </c>
      <c r="I1109" s="2" t="s">
        <v>30</v>
      </c>
      <c r="J1109" s="2" t="s">
        <v>628</v>
      </c>
      <c r="K1109" s="2" t="str">
        <f>"13"</f>
        <v>13</v>
      </c>
      <c r="L1109" s="2" t="str">
        <f>""</f>
        <v/>
      </c>
      <c r="M1109" s="2" t="str">
        <f>"62-400"</f>
        <v>62-400</v>
      </c>
      <c r="N1109" s="2" t="str">
        <f>"632771322"</f>
        <v>632771322</v>
      </c>
      <c r="O1109" s="2" t="s">
        <v>3616</v>
      </c>
      <c r="P1109" s="2" t="s">
        <v>121</v>
      </c>
    </row>
    <row r="1110" spans="1:16" x14ac:dyDescent="0.25">
      <c r="A1110" s="2">
        <v>14546</v>
      </c>
      <c r="B1110" s="2" t="str">
        <f>"000739490"</f>
        <v>000739490</v>
      </c>
      <c r="C1110" s="2" t="s">
        <v>16</v>
      </c>
      <c r="D1110" s="2" t="s">
        <v>3617</v>
      </c>
      <c r="E1110" s="2" t="s">
        <v>18</v>
      </c>
      <c r="F1110" s="2" t="s">
        <v>604</v>
      </c>
      <c r="G1110" s="2" t="s">
        <v>605</v>
      </c>
      <c r="H1110" s="2" t="s">
        <v>605</v>
      </c>
      <c r="I1110" s="2" t="s">
        <v>30</v>
      </c>
      <c r="J1110" s="2" t="s">
        <v>396</v>
      </c>
      <c r="K1110" s="2" t="str">
        <f>"51"</f>
        <v>51</v>
      </c>
      <c r="L1110" s="2" t="str">
        <f>""</f>
        <v/>
      </c>
      <c r="M1110" s="2" t="str">
        <f>"96-500"</f>
        <v>96-500</v>
      </c>
      <c r="N1110" s="2" t="str">
        <f>"468625219"</f>
        <v>468625219</v>
      </c>
      <c r="O1110" s="2" t="s">
        <v>3618</v>
      </c>
      <c r="P1110" s="2" t="s">
        <v>121</v>
      </c>
    </row>
    <row r="1111" spans="1:16" x14ac:dyDescent="0.25">
      <c r="A1111" s="2">
        <v>5174</v>
      </c>
      <c r="B1111" s="2" t="str">
        <f>"000957821"</f>
        <v>000957821</v>
      </c>
      <c r="C1111" s="2" t="s">
        <v>16</v>
      </c>
      <c r="D1111" s="2" t="s">
        <v>3619</v>
      </c>
      <c r="E1111" s="2" t="s">
        <v>80</v>
      </c>
      <c r="F1111" s="2" t="s">
        <v>1992</v>
      </c>
      <c r="G1111" s="2" t="s">
        <v>1992</v>
      </c>
      <c r="H1111" s="2" t="s">
        <v>1992</v>
      </c>
      <c r="I1111" s="2" t="s">
        <v>30</v>
      </c>
      <c r="J1111" s="2" t="s">
        <v>3620</v>
      </c>
      <c r="K1111" s="2" t="str">
        <f>"23/25"</f>
        <v>23/25</v>
      </c>
      <c r="L1111" s="2" t="str">
        <f>""</f>
        <v/>
      </c>
      <c r="M1111" s="2" t="str">
        <f>"81-742"</f>
        <v>81-742</v>
      </c>
      <c r="N1111" s="2" t="str">
        <f>"585515133"</f>
        <v>585515133</v>
      </c>
      <c r="O1111" s="2" t="s">
        <v>3621</v>
      </c>
      <c r="P1111" s="2" t="s">
        <v>121</v>
      </c>
    </row>
    <row r="1112" spans="1:16" x14ac:dyDescent="0.25">
      <c r="A1112" s="2">
        <v>44034</v>
      </c>
      <c r="B1112" s="2" t="str">
        <f>"411516613"</f>
        <v>411516613</v>
      </c>
      <c r="C1112" s="2" t="s">
        <v>16</v>
      </c>
      <c r="D1112" s="2" t="s">
        <v>3622</v>
      </c>
      <c r="E1112" s="2" t="s">
        <v>157</v>
      </c>
      <c r="F1112" s="2" t="s">
        <v>1303</v>
      </c>
      <c r="G1112" s="2" t="s">
        <v>1304</v>
      </c>
      <c r="H1112" s="2" t="s">
        <v>1304</v>
      </c>
      <c r="I1112" s="2" t="s">
        <v>30</v>
      </c>
      <c r="J1112" s="2" t="s">
        <v>3623</v>
      </c>
      <c r="K1112" s="2" t="str">
        <f>"2"</f>
        <v>2</v>
      </c>
      <c r="L1112" s="2" t="str">
        <f>""</f>
        <v/>
      </c>
      <c r="M1112" s="2" t="str">
        <f>"63-100"</f>
        <v>63-100</v>
      </c>
      <c r="N1112" s="2" t="str">
        <f>"612834864"</f>
        <v>612834864</v>
      </c>
      <c r="O1112" s="2" t="s">
        <v>3624</v>
      </c>
      <c r="P1112" s="2" t="s">
        <v>121</v>
      </c>
    </row>
    <row r="1113" spans="1:16" x14ac:dyDescent="0.25">
      <c r="A1113" s="2">
        <v>10965</v>
      </c>
      <c r="B1113" s="2" t="str">
        <f>"639699755"</f>
        <v>639699755</v>
      </c>
      <c r="C1113" s="2" t="s">
        <v>16</v>
      </c>
      <c r="D1113" s="2" t="s">
        <v>3625</v>
      </c>
      <c r="E1113" s="2" t="s">
        <v>157</v>
      </c>
      <c r="F1113" s="2" t="s">
        <v>1499</v>
      </c>
      <c r="G1113" s="2" t="s">
        <v>1610</v>
      </c>
      <c r="H1113" s="2" t="s">
        <v>1610</v>
      </c>
      <c r="I1113" s="2" t="s">
        <v>30</v>
      </c>
      <c r="J1113" s="2" t="s">
        <v>1696</v>
      </c>
      <c r="K1113" s="2" t="str">
        <f>"3"</f>
        <v>3</v>
      </c>
      <c r="L1113" s="2" t="str">
        <f>""</f>
        <v/>
      </c>
      <c r="M1113" s="2" t="str">
        <f>"63-000"</f>
        <v>63-000</v>
      </c>
      <c r="N1113" s="2" t="str">
        <f>"616770880"</f>
        <v>616770880</v>
      </c>
      <c r="O1113" s="2" t="s">
        <v>3626</v>
      </c>
      <c r="P1113" s="2" t="s">
        <v>121</v>
      </c>
    </row>
    <row r="1114" spans="1:16" x14ac:dyDescent="0.25">
      <c r="A1114" s="2">
        <v>26379</v>
      </c>
      <c r="B1114" s="2" t="str">
        <f>"000902642"</f>
        <v>000902642</v>
      </c>
      <c r="C1114" s="2" t="s">
        <v>16</v>
      </c>
      <c r="D1114" s="2" t="s">
        <v>3627</v>
      </c>
      <c r="E1114" s="2" t="s">
        <v>101</v>
      </c>
      <c r="F1114" s="2" t="s">
        <v>3628</v>
      </c>
      <c r="G1114" s="2" t="s">
        <v>3629</v>
      </c>
      <c r="H1114" s="2" t="s">
        <v>3629</v>
      </c>
      <c r="I1114" s="2" t="s">
        <v>30</v>
      </c>
      <c r="J1114" s="2" t="s">
        <v>3630</v>
      </c>
      <c r="K1114" s="2" t="str">
        <f>"12"</f>
        <v>12</v>
      </c>
      <c r="L1114" s="2" t="str">
        <f>""</f>
        <v/>
      </c>
      <c r="M1114" s="2" t="str">
        <f>"37-450"</f>
        <v>37-450</v>
      </c>
      <c r="N1114" s="2" t="str">
        <f>"158421831"</f>
        <v>158421831</v>
      </c>
      <c r="O1114" s="2" t="s">
        <v>3631</v>
      </c>
      <c r="P1114" s="2" t="s">
        <v>121</v>
      </c>
    </row>
    <row r="1115" spans="1:16" x14ac:dyDescent="0.25">
      <c r="A1115" s="2">
        <v>44556</v>
      </c>
      <c r="B1115" s="2" t="str">
        <f>"292381406"</f>
        <v>292381406</v>
      </c>
      <c r="C1115" s="2" t="s">
        <v>16</v>
      </c>
      <c r="D1115" s="2" t="s">
        <v>3632</v>
      </c>
      <c r="E1115" s="2" t="s">
        <v>74</v>
      </c>
      <c r="F1115" s="2" t="s">
        <v>1905</v>
      </c>
      <c r="G1115" s="2" t="s">
        <v>1906</v>
      </c>
      <c r="H1115" s="2" t="s">
        <v>1906</v>
      </c>
      <c r="I1115" s="2" t="s">
        <v>30</v>
      </c>
      <c r="J1115" s="2" t="s">
        <v>3027</v>
      </c>
      <c r="K1115" s="2" t="str">
        <f>"72"</f>
        <v>72</v>
      </c>
      <c r="L1115" s="2" t="str">
        <f>""</f>
        <v/>
      </c>
      <c r="M1115" s="2" t="str">
        <f>"27-200"</f>
        <v>27-200</v>
      </c>
      <c r="N1115" s="2" t="str">
        <f>"412747385"</f>
        <v>412747385</v>
      </c>
      <c r="O1115" s="2" t="s">
        <v>3633</v>
      </c>
      <c r="P1115" s="2" t="s">
        <v>121</v>
      </c>
    </row>
    <row r="1116" spans="1:16" x14ac:dyDescent="0.25">
      <c r="A1116" s="2">
        <v>16572</v>
      </c>
      <c r="B1116" s="2" t="str">
        <f>"000957880"</f>
        <v>000957880</v>
      </c>
      <c r="C1116" s="2" t="s">
        <v>16</v>
      </c>
      <c r="D1116" s="2" t="s">
        <v>3634</v>
      </c>
      <c r="E1116" s="2" t="s">
        <v>80</v>
      </c>
      <c r="F1116" s="2" t="s">
        <v>833</v>
      </c>
      <c r="G1116" s="2" t="s">
        <v>1226</v>
      </c>
      <c r="H1116" s="2" t="s">
        <v>1226</v>
      </c>
      <c r="I1116" s="2" t="s">
        <v>30</v>
      </c>
      <c r="J1116" s="2" t="s">
        <v>1389</v>
      </c>
      <c r="K1116" s="2" t="str">
        <f>"28"</f>
        <v>28</v>
      </c>
      <c r="L1116" s="2" t="str">
        <f>""</f>
        <v/>
      </c>
      <c r="M1116" s="2" t="str">
        <f>"83-200"</f>
        <v>83-200</v>
      </c>
      <c r="N1116" s="2" t="str">
        <f>"585622982"</f>
        <v>585622982</v>
      </c>
      <c r="O1116" s="2" t="s">
        <v>3635</v>
      </c>
      <c r="P1116" s="2" t="s">
        <v>121</v>
      </c>
    </row>
    <row r="1117" spans="1:16" x14ac:dyDescent="0.25">
      <c r="A1117" s="2">
        <v>8029</v>
      </c>
      <c r="B1117" s="2" t="str">
        <f>"890045921"</f>
        <v>890045921</v>
      </c>
      <c r="C1117" s="2" t="s">
        <v>16</v>
      </c>
      <c r="D1117" s="2" t="s">
        <v>3636</v>
      </c>
      <c r="E1117" s="2" t="s">
        <v>64</v>
      </c>
      <c r="F1117" s="2" t="s">
        <v>841</v>
      </c>
      <c r="G1117" s="2" t="s">
        <v>860</v>
      </c>
      <c r="H1117" s="2" t="s">
        <v>860</v>
      </c>
      <c r="I1117" s="2" t="s">
        <v>30</v>
      </c>
      <c r="J1117" s="2" t="s">
        <v>86</v>
      </c>
      <c r="K1117" s="2" t="str">
        <f>"16"</f>
        <v>16</v>
      </c>
      <c r="L1117" s="2" t="str">
        <f>""</f>
        <v/>
      </c>
      <c r="M1117" s="2" t="str">
        <f>"58-150"</f>
        <v>58-150</v>
      </c>
      <c r="N1117" s="2" t="str">
        <f>"746622760"</f>
        <v>746622760</v>
      </c>
      <c r="O1117" s="2" t="s">
        <v>3637</v>
      </c>
      <c r="P1117" s="2" t="s">
        <v>121</v>
      </c>
    </row>
    <row r="1118" spans="1:16" x14ac:dyDescent="0.25">
      <c r="A1118" s="2">
        <v>104745</v>
      </c>
      <c r="B1118" s="2" t="str">
        <f>"932174566"</f>
        <v>932174566</v>
      </c>
      <c r="C1118" s="2" t="s">
        <v>16</v>
      </c>
      <c r="D1118" s="2" t="s">
        <v>3638</v>
      </c>
      <c r="E1118" s="2" t="s">
        <v>64</v>
      </c>
      <c r="F1118" s="2" t="s">
        <v>3639</v>
      </c>
      <c r="G1118" s="2" t="s">
        <v>3640</v>
      </c>
      <c r="H1118" s="2" t="s">
        <v>3640</v>
      </c>
      <c r="I1118" s="2" t="s">
        <v>30</v>
      </c>
      <c r="J1118" s="2" t="s">
        <v>1051</v>
      </c>
      <c r="K1118" s="2" t="str">
        <f>"17"</f>
        <v>17</v>
      </c>
      <c r="L1118" s="2" t="str">
        <f>"1"</f>
        <v>1</v>
      </c>
      <c r="M1118" s="2" t="str">
        <f>"57-100"</f>
        <v>57-100</v>
      </c>
      <c r="N1118" s="2" t="str">
        <f>"713920749"</f>
        <v>713920749</v>
      </c>
      <c r="O1118" s="2" t="s">
        <v>3641</v>
      </c>
      <c r="P1118" s="2" t="s">
        <v>121</v>
      </c>
    </row>
    <row r="1119" spans="1:16" x14ac:dyDescent="0.25">
      <c r="A1119" s="2">
        <v>71556</v>
      </c>
      <c r="B1119" s="2" t="str">
        <f>"639695622"</f>
        <v>639695622</v>
      </c>
      <c r="C1119" s="2" t="s">
        <v>16</v>
      </c>
      <c r="D1119" s="2" t="s">
        <v>299</v>
      </c>
      <c r="E1119" s="2" t="s">
        <v>157</v>
      </c>
      <c r="F1119" s="2" t="s">
        <v>162</v>
      </c>
      <c r="G1119" s="2" t="s">
        <v>1976</v>
      </c>
      <c r="H1119" s="2" t="s">
        <v>1976</v>
      </c>
      <c r="I1119" s="2" t="s">
        <v>30</v>
      </c>
      <c r="J1119" s="2" t="s">
        <v>402</v>
      </c>
      <c r="K1119" s="2" t="str">
        <f>"7"</f>
        <v>7</v>
      </c>
      <c r="L1119" s="2" t="str">
        <f>""</f>
        <v/>
      </c>
      <c r="M1119" s="2" t="str">
        <f>"62-020"</f>
        <v>62-020</v>
      </c>
      <c r="N1119" s="2" t="str">
        <f>"618174951"</f>
        <v>618174951</v>
      </c>
      <c r="O1119" s="2" t="s">
        <v>3642</v>
      </c>
      <c r="P1119" s="2" t="s">
        <v>121</v>
      </c>
    </row>
    <row r="1120" spans="1:16" x14ac:dyDescent="0.25">
      <c r="A1120" s="2">
        <v>8011</v>
      </c>
      <c r="B1120" s="2" t="str">
        <f>"890042377"</f>
        <v>890042377</v>
      </c>
      <c r="C1120" s="2" t="s">
        <v>16</v>
      </c>
      <c r="D1120" s="2" t="s">
        <v>3643</v>
      </c>
      <c r="E1120" s="2" t="s">
        <v>64</v>
      </c>
      <c r="F1120" s="2" t="s">
        <v>841</v>
      </c>
      <c r="G1120" s="2" t="s">
        <v>1582</v>
      </c>
      <c r="H1120" s="2" t="s">
        <v>1582</v>
      </c>
      <c r="I1120" s="2" t="s">
        <v>30</v>
      </c>
      <c r="J1120" s="2" t="s">
        <v>3644</v>
      </c>
      <c r="K1120" s="2" t="str">
        <f>"14"</f>
        <v>14</v>
      </c>
      <c r="L1120" s="2" t="str">
        <f>""</f>
        <v/>
      </c>
      <c r="M1120" s="2" t="str">
        <f>"58-100"</f>
        <v>58-100</v>
      </c>
      <c r="N1120" s="2" t="str">
        <f>"746622720"</f>
        <v>746622720</v>
      </c>
      <c r="O1120" s="2" t="s">
        <v>3637</v>
      </c>
      <c r="P1120" s="2" t="s">
        <v>121</v>
      </c>
    </row>
    <row r="1121" spans="1:16" x14ac:dyDescent="0.25">
      <c r="A1121" s="2">
        <v>9079</v>
      </c>
      <c r="B1121" s="2" t="str">
        <f>"331248940"</f>
        <v>331248940</v>
      </c>
      <c r="C1121" s="2" t="s">
        <v>16</v>
      </c>
      <c r="D1121" s="2" t="s">
        <v>3645</v>
      </c>
      <c r="E1121" s="2" t="s">
        <v>34</v>
      </c>
      <c r="F1121" s="2" t="s">
        <v>1141</v>
      </c>
      <c r="G1121" s="2" t="s">
        <v>1142</v>
      </c>
      <c r="H1121" s="2" t="s">
        <v>1142</v>
      </c>
      <c r="I1121" s="2" t="s">
        <v>30</v>
      </c>
      <c r="J1121" s="2" t="s">
        <v>1143</v>
      </c>
      <c r="K1121" s="2" t="str">
        <f>"32"</f>
        <v>32</v>
      </c>
      <c r="L1121" s="2" t="str">
        <f>""</f>
        <v/>
      </c>
      <c r="M1121" s="2" t="str">
        <f>"78-300"</f>
        <v>78-300</v>
      </c>
      <c r="N1121" s="2" t="str">
        <f>"943652330"</f>
        <v>943652330</v>
      </c>
      <c r="O1121" s="2" t="s">
        <v>3646</v>
      </c>
      <c r="P1121" s="2" t="s">
        <v>121</v>
      </c>
    </row>
    <row r="1122" spans="1:16" x14ac:dyDescent="0.25">
      <c r="A1122" s="2">
        <v>8023</v>
      </c>
      <c r="B1122" s="2" t="str">
        <f>"890041159"</f>
        <v>890041159</v>
      </c>
      <c r="C1122" s="2" t="s">
        <v>16</v>
      </c>
      <c r="D1122" s="2" t="s">
        <v>3647</v>
      </c>
      <c r="E1122" s="2" t="s">
        <v>64</v>
      </c>
      <c r="F1122" s="2" t="s">
        <v>841</v>
      </c>
      <c r="G1122" s="2" t="s">
        <v>985</v>
      </c>
      <c r="H1122" s="2" t="s">
        <v>985</v>
      </c>
      <c r="I1122" s="2" t="s">
        <v>30</v>
      </c>
      <c r="J1122" s="2" t="s">
        <v>2102</v>
      </c>
      <c r="K1122" s="2" t="str">
        <f>"9"</f>
        <v>9</v>
      </c>
      <c r="L1122" s="2" t="str">
        <f>""</f>
        <v/>
      </c>
      <c r="M1122" s="2" t="str">
        <f>"58-160"</f>
        <v>58-160</v>
      </c>
      <c r="N1122" s="2" t="str">
        <f>"746622740"</f>
        <v>746622740</v>
      </c>
      <c r="O1122" s="2" t="s">
        <v>3637</v>
      </c>
      <c r="P1122" s="2" t="s">
        <v>121</v>
      </c>
    </row>
    <row r="1123" spans="1:16" x14ac:dyDescent="0.25">
      <c r="A1123" s="2">
        <v>19152</v>
      </c>
      <c r="B1123" s="2" t="str">
        <f>"000725393"</f>
        <v>000725393</v>
      </c>
      <c r="C1123" s="2" t="s">
        <v>16</v>
      </c>
      <c r="D1123" s="2" t="s">
        <v>3648</v>
      </c>
      <c r="E1123" s="2" t="s">
        <v>117</v>
      </c>
      <c r="F1123" s="2" t="s">
        <v>3649</v>
      </c>
      <c r="G1123" s="2" t="s">
        <v>3649</v>
      </c>
      <c r="H1123" s="2" t="s">
        <v>3649</v>
      </c>
      <c r="I1123" s="2" t="s">
        <v>30</v>
      </c>
      <c r="J1123" s="2" t="s">
        <v>3650</v>
      </c>
      <c r="K1123" s="2" t="str">
        <f>"1"</f>
        <v>1</v>
      </c>
      <c r="L1123" s="2" t="str">
        <f>""</f>
        <v/>
      </c>
      <c r="M1123" s="2" t="str">
        <f>"41-605"</f>
        <v>41-605</v>
      </c>
      <c r="N1123" s="2" t="str">
        <f>"322454910"</f>
        <v>322454910</v>
      </c>
      <c r="O1123" s="2" t="s">
        <v>3651</v>
      </c>
      <c r="P1123" s="2" t="s">
        <v>121</v>
      </c>
    </row>
    <row r="1124" spans="1:16" x14ac:dyDescent="0.25">
      <c r="A1124" s="2">
        <v>9627</v>
      </c>
      <c r="B1124" s="2" t="str">
        <f>"000694333"</f>
        <v>000694333</v>
      </c>
      <c r="C1124" s="2" t="s">
        <v>16</v>
      </c>
      <c r="D1124" s="2" t="s">
        <v>3652</v>
      </c>
      <c r="E1124" s="2" t="s">
        <v>64</v>
      </c>
      <c r="F1124" s="2" t="s">
        <v>1091</v>
      </c>
      <c r="G1124" s="2" t="s">
        <v>3653</v>
      </c>
      <c r="H1124" s="2" t="s">
        <v>3653</v>
      </c>
      <c r="I1124" s="2" t="s">
        <v>30</v>
      </c>
      <c r="J1124" s="2" t="s">
        <v>3061</v>
      </c>
      <c r="K1124" s="2" t="str">
        <f>"1"</f>
        <v>1</v>
      </c>
      <c r="L1124" s="2" t="str">
        <f>""</f>
        <v/>
      </c>
      <c r="M1124" s="2" t="str">
        <f>"56-500"</f>
        <v>56-500</v>
      </c>
      <c r="N1124" s="2" t="str">
        <f>"627852708"</f>
        <v>627852708</v>
      </c>
      <c r="O1124" s="2" t="s">
        <v>3654</v>
      </c>
      <c r="P1124" s="2" t="s">
        <v>121</v>
      </c>
    </row>
    <row r="1125" spans="1:16" x14ac:dyDescent="0.25">
      <c r="A1125" s="2">
        <v>43692</v>
      </c>
      <c r="B1125" s="2" t="str">
        <f>"000707952"</f>
        <v>000707952</v>
      </c>
      <c r="C1125" s="2" t="s">
        <v>16</v>
      </c>
      <c r="D1125" s="2" t="s">
        <v>3655</v>
      </c>
      <c r="E1125" s="2" t="s">
        <v>157</v>
      </c>
      <c r="F1125" s="2" t="s">
        <v>2137</v>
      </c>
      <c r="G1125" s="2" t="s">
        <v>2138</v>
      </c>
      <c r="H1125" s="2" t="s">
        <v>2138</v>
      </c>
      <c r="I1125" s="2" t="s">
        <v>30</v>
      </c>
      <c r="J1125" s="2" t="s">
        <v>544</v>
      </c>
      <c r="K1125" s="2" t="str">
        <f>"8b"</f>
        <v>8b</v>
      </c>
      <c r="L1125" s="2" t="str">
        <f>""</f>
        <v/>
      </c>
      <c r="M1125" s="2" t="str">
        <f>"64-500"</f>
        <v>64-500</v>
      </c>
      <c r="N1125" s="2" t="str">
        <f>"664064138"</f>
        <v>664064138</v>
      </c>
      <c r="O1125" s="2" t="s">
        <v>3656</v>
      </c>
      <c r="P1125" s="2" t="s">
        <v>121</v>
      </c>
    </row>
    <row r="1126" spans="1:16" x14ac:dyDescent="0.25">
      <c r="A1126" s="2">
        <v>69075</v>
      </c>
      <c r="B1126" s="2" t="str">
        <f>"331096570"</f>
        <v>331096570</v>
      </c>
      <c r="C1126" s="2" t="s">
        <v>16</v>
      </c>
      <c r="D1126" s="2" t="s">
        <v>3657</v>
      </c>
      <c r="E1126" s="2" t="s">
        <v>34</v>
      </c>
      <c r="F1126" s="2" t="s">
        <v>529</v>
      </c>
      <c r="G1126" s="2" t="s">
        <v>530</v>
      </c>
      <c r="H1126" s="2" t="s">
        <v>530</v>
      </c>
      <c r="I1126" s="2" t="s">
        <v>30</v>
      </c>
      <c r="J1126" s="2" t="s">
        <v>3658</v>
      </c>
      <c r="K1126" s="2" t="str">
        <f>"1"</f>
        <v>1</v>
      </c>
      <c r="L1126" s="2" t="str">
        <f>""</f>
        <v/>
      </c>
      <c r="M1126" s="2" t="str">
        <f>"78-400"</f>
        <v>78-400</v>
      </c>
      <c r="N1126" s="2" t="str">
        <f>"943743722"</f>
        <v>943743722</v>
      </c>
      <c r="O1126" s="2" t="s">
        <v>3659</v>
      </c>
      <c r="P1126" s="2" t="s">
        <v>121</v>
      </c>
    </row>
    <row r="1127" spans="1:16" x14ac:dyDescent="0.25">
      <c r="A1127" s="2">
        <v>17928</v>
      </c>
      <c r="B1127" s="2" t="str">
        <f>"180641073"</f>
        <v>180641073</v>
      </c>
      <c r="C1127" s="2" t="s">
        <v>16</v>
      </c>
      <c r="D1127" s="2" t="s">
        <v>3660</v>
      </c>
      <c r="E1127" s="2" t="s">
        <v>101</v>
      </c>
      <c r="F1127" s="2" t="s">
        <v>2470</v>
      </c>
      <c r="G1127" s="2" t="s">
        <v>2470</v>
      </c>
      <c r="H1127" s="2" t="s">
        <v>2470</v>
      </c>
      <c r="I1127" s="2" t="s">
        <v>30</v>
      </c>
      <c r="J1127" s="2" t="s">
        <v>188</v>
      </c>
      <c r="K1127" s="2" t="str">
        <f>"30"</f>
        <v>30</v>
      </c>
      <c r="L1127" s="2" t="str">
        <f>""</f>
        <v/>
      </c>
      <c r="M1127" s="2" t="str">
        <f>"39-400"</f>
        <v>39-400</v>
      </c>
      <c r="N1127" s="2" t="str">
        <f>"158479410"</f>
        <v>158479410</v>
      </c>
      <c r="O1127" s="2" t="s">
        <v>3661</v>
      </c>
      <c r="P1127" s="2" t="s">
        <v>121</v>
      </c>
    </row>
    <row r="1128" spans="1:16" x14ac:dyDescent="0.25">
      <c r="A1128" s="2">
        <v>23274</v>
      </c>
      <c r="B1128" s="2" t="str">
        <f>"000957904"</f>
        <v>000957904</v>
      </c>
      <c r="C1128" s="2" t="s">
        <v>16</v>
      </c>
      <c r="D1128" s="2" t="s">
        <v>3662</v>
      </c>
      <c r="E1128" s="2" t="s">
        <v>80</v>
      </c>
      <c r="F1128" s="2" t="s">
        <v>932</v>
      </c>
      <c r="G1128" s="2" t="s">
        <v>933</v>
      </c>
      <c r="H1128" s="2" t="s">
        <v>933</v>
      </c>
      <c r="I1128" s="2" t="s">
        <v>30</v>
      </c>
      <c r="J1128" s="2" t="s">
        <v>628</v>
      </c>
      <c r="K1128" s="2" t="str">
        <f>"6"</f>
        <v>6</v>
      </c>
      <c r="L1128" s="2" t="str">
        <f>""</f>
        <v/>
      </c>
      <c r="M1128" s="2" t="str">
        <f>"83-110"</f>
        <v>83-110</v>
      </c>
      <c r="N1128" s="2" t="str">
        <f>"0585311009"</f>
        <v>0585311009</v>
      </c>
      <c r="O1128" s="2" t="s">
        <v>3663</v>
      </c>
      <c r="P1128" s="2" t="s">
        <v>121</v>
      </c>
    </row>
    <row r="1129" spans="1:16" x14ac:dyDescent="0.25">
      <c r="A1129" s="2">
        <v>61567</v>
      </c>
      <c r="B1129" s="2" t="str">
        <f>"001222091"</f>
        <v>001222091</v>
      </c>
      <c r="C1129" s="2" t="s">
        <v>16</v>
      </c>
      <c r="D1129" s="2" t="s">
        <v>3664</v>
      </c>
      <c r="E1129" s="2" t="s">
        <v>18</v>
      </c>
      <c r="F1129" s="2" t="s">
        <v>451</v>
      </c>
      <c r="G1129" s="2" t="s">
        <v>664</v>
      </c>
      <c r="H1129" s="2" t="s">
        <v>664</v>
      </c>
      <c r="I1129" s="2" t="s">
        <v>30</v>
      </c>
      <c r="J1129" s="2" t="s">
        <v>817</v>
      </c>
      <c r="K1129" s="2" t="str">
        <f>"1a"</f>
        <v>1a</v>
      </c>
      <c r="L1129" s="2" t="str">
        <f>""</f>
        <v/>
      </c>
      <c r="M1129" s="2" t="str">
        <f>"05-240"</f>
        <v>05-240</v>
      </c>
      <c r="N1129" s="2" t="str">
        <f>"297573897"</f>
        <v>297573897</v>
      </c>
      <c r="O1129" s="2" t="s">
        <v>3665</v>
      </c>
      <c r="P1129" s="2" t="s">
        <v>121</v>
      </c>
    </row>
    <row r="1130" spans="1:16" x14ac:dyDescent="0.25">
      <c r="A1130" s="2">
        <v>13051</v>
      </c>
      <c r="B1130" s="2" t="str">
        <f>"000707840"</f>
        <v>000707840</v>
      </c>
      <c r="C1130" s="2" t="s">
        <v>16</v>
      </c>
      <c r="D1130" s="2" t="s">
        <v>3666</v>
      </c>
      <c r="E1130" s="2" t="s">
        <v>112</v>
      </c>
      <c r="F1130" s="2" t="s">
        <v>494</v>
      </c>
      <c r="G1130" s="2" t="s">
        <v>3667</v>
      </c>
      <c r="H1130" s="2" t="s">
        <v>3667</v>
      </c>
      <c r="I1130" s="2" t="s">
        <v>30</v>
      </c>
      <c r="J1130" s="2" t="s">
        <v>3668</v>
      </c>
      <c r="K1130" s="2" t="str">
        <f>"2A"</f>
        <v>2A</v>
      </c>
      <c r="L1130" s="2" t="str">
        <f>""</f>
        <v/>
      </c>
      <c r="M1130" s="2" t="str">
        <f>"22-600"</f>
        <v>22-600</v>
      </c>
      <c r="N1130" s="2" t="str">
        <f>"846634364"</f>
        <v>846634364</v>
      </c>
      <c r="O1130" s="2" t="s">
        <v>3669</v>
      </c>
      <c r="P1130" s="2" t="s">
        <v>121</v>
      </c>
    </row>
    <row r="1131" spans="1:16" x14ac:dyDescent="0.25">
      <c r="A1131" s="2">
        <v>55381</v>
      </c>
      <c r="B1131" s="2" t="str">
        <f>"001238695"</f>
        <v>001238695</v>
      </c>
      <c r="C1131" s="2" t="s">
        <v>16</v>
      </c>
      <c r="D1131" s="2" t="s">
        <v>3670</v>
      </c>
      <c r="E1131" s="2" t="s">
        <v>157</v>
      </c>
      <c r="F1131" s="2" t="s">
        <v>3145</v>
      </c>
      <c r="G1131" s="2" t="s">
        <v>3671</v>
      </c>
      <c r="H1131" s="2" t="s">
        <v>3671</v>
      </c>
      <c r="I1131" s="2" t="s">
        <v>30</v>
      </c>
      <c r="J1131" s="2" t="s">
        <v>453</v>
      </c>
      <c r="K1131" s="2" t="str">
        <f>"1"</f>
        <v>1</v>
      </c>
      <c r="L1131" s="2" t="str">
        <f>""</f>
        <v/>
      </c>
      <c r="M1131" s="2" t="str">
        <f>"64-980"</f>
        <v>64-980</v>
      </c>
      <c r="N1131" s="2" t="str">
        <f>"672163583"</f>
        <v>672163583</v>
      </c>
      <c r="O1131" s="2" t="s">
        <v>3672</v>
      </c>
      <c r="P1131" s="2" t="s">
        <v>121</v>
      </c>
    </row>
    <row r="1132" spans="1:16" x14ac:dyDescent="0.25">
      <c r="A1132" s="2">
        <v>3345</v>
      </c>
      <c r="B1132" s="2" t="str">
        <f>"310500352"</f>
        <v>310500352</v>
      </c>
      <c r="C1132" s="2" t="s">
        <v>16</v>
      </c>
      <c r="D1132" s="2" t="s">
        <v>3673</v>
      </c>
      <c r="E1132" s="2" t="s">
        <v>157</v>
      </c>
      <c r="F1132" s="2" t="s">
        <v>1326</v>
      </c>
      <c r="G1132" s="2" t="s">
        <v>1327</v>
      </c>
      <c r="H1132" s="2" t="s">
        <v>1327</v>
      </c>
      <c r="I1132" s="2" t="s">
        <v>30</v>
      </c>
      <c r="J1132" s="2" t="s">
        <v>188</v>
      </c>
      <c r="K1132" s="2" t="str">
        <f>"6"</f>
        <v>6</v>
      </c>
      <c r="L1132" s="2" t="str">
        <f>""</f>
        <v/>
      </c>
      <c r="M1132" s="2" t="str">
        <f>"62-700"</f>
        <v>62-700</v>
      </c>
      <c r="N1132" s="2" t="str">
        <f>"0632785073"</f>
        <v>0632785073</v>
      </c>
      <c r="O1132" s="2" t="s">
        <v>3674</v>
      </c>
      <c r="P1132" s="2" t="s">
        <v>121</v>
      </c>
    </row>
    <row r="1133" spans="1:16" x14ac:dyDescent="0.25">
      <c r="A1133" s="2">
        <v>23597</v>
      </c>
      <c r="B1133" s="2" t="str">
        <f>"370998434"</f>
        <v>370998434</v>
      </c>
      <c r="C1133" s="2" t="s">
        <v>16</v>
      </c>
      <c r="D1133" s="2" t="s">
        <v>3675</v>
      </c>
      <c r="E1133" s="2" t="s">
        <v>101</v>
      </c>
      <c r="F1133" s="2" t="s">
        <v>3676</v>
      </c>
      <c r="G1133" s="2" t="s">
        <v>3677</v>
      </c>
      <c r="H1133" s="2" t="s">
        <v>3677</v>
      </c>
      <c r="I1133" s="2" t="s">
        <v>30</v>
      </c>
      <c r="J1133" s="2" t="s">
        <v>3678</v>
      </c>
      <c r="K1133" s="2" t="str">
        <f>"10"</f>
        <v>10</v>
      </c>
      <c r="L1133" s="2" t="str">
        <f>""</f>
        <v/>
      </c>
      <c r="M1133" s="2" t="str">
        <f>"38-700"</f>
        <v>38-700</v>
      </c>
      <c r="N1133" s="2" t="str">
        <f>"134611291"</f>
        <v>134611291</v>
      </c>
      <c r="O1133" s="2" t="s">
        <v>3679</v>
      </c>
      <c r="P1133" s="2" t="s">
        <v>121</v>
      </c>
    </row>
    <row r="1134" spans="1:16" x14ac:dyDescent="0.25">
      <c r="A1134" s="2">
        <v>4388</v>
      </c>
      <c r="B1134" s="2" t="str">
        <f>"000745616"</f>
        <v>000745616</v>
      </c>
      <c r="C1134" s="2" t="s">
        <v>16</v>
      </c>
      <c r="D1134" s="2" t="s">
        <v>3680</v>
      </c>
      <c r="E1134" s="2" t="s">
        <v>27</v>
      </c>
      <c r="F1134" s="2" t="s">
        <v>1235</v>
      </c>
      <c r="G1134" s="2" t="s">
        <v>2142</v>
      </c>
      <c r="H1134" s="2" t="s">
        <v>2142</v>
      </c>
      <c r="I1134" s="2" t="s">
        <v>30</v>
      </c>
      <c r="J1134" s="2" t="s">
        <v>3681</v>
      </c>
      <c r="K1134" s="2" t="str">
        <f>"16"</f>
        <v>16</v>
      </c>
      <c r="L1134" s="2" t="str">
        <f>""</f>
        <v/>
      </c>
      <c r="M1134" s="2" t="str">
        <f>"34-100"</f>
        <v>34-100</v>
      </c>
      <c r="N1134" s="2" t="str">
        <f>"338731050"</f>
        <v>338731050</v>
      </c>
      <c r="O1134" s="2" t="s">
        <v>3682</v>
      </c>
      <c r="P1134" s="2" t="s">
        <v>121</v>
      </c>
    </row>
    <row r="1135" spans="1:16" x14ac:dyDescent="0.25">
      <c r="A1135" s="2">
        <v>52777</v>
      </c>
      <c r="B1135" s="2" t="str">
        <f>"671992051"</f>
        <v>671992051</v>
      </c>
      <c r="C1135" s="2" t="s">
        <v>16</v>
      </c>
      <c r="D1135" s="2" t="s">
        <v>3683</v>
      </c>
      <c r="E1135" s="2" t="s">
        <v>18</v>
      </c>
      <c r="F1135" s="2" t="s">
        <v>2128</v>
      </c>
      <c r="G1135" s="2" t="s">
        <v>3684</v>
      </c>
      <c r="H1135" s="2" t="s">
        <v>3684</v>
      </c>
      <c r="I1135" s="2" t="s">
        <v>30</v>
      </c>
      <c r="J1135" s="2" t="s">
        <v>3685</v>
      </c>
      <c r="K1135" s="2" t="str">
        <f>"11"</f>
        <v>11</v>
      </c>
      <c r="L1135" s="2" t="str">
        <f>""</f>
        <v/>
      </c>
      <c r="M1135" s="2" t="str">
        <f>"05-660"</f>
        <v>05-660</v>
      </c>
      <c r="N1135" s="2" t="str">
        <f>"486672889"</f>
        <v>486672889</v>
      </c>
      <c r="O1135" s="2" t="s">
        <v>3686</v>
      </c>
      <c r="P1135" s="2" t="s">
        <v>121</v>
      </c>
    </row>
    <row r="1136" spans="1:16" x14ac:dyDescent="0.25">
      <c r="A1136" s="2">
        <v>81124</v>
      </c>
      <c r="B1136" s="2" t="str">
        <f>"730161034"</f>
        <v>730161034</v>
      </c>
      <c r="C1136" s="2" t="s">
        <v>16</v>
      </c>
      <c r="D1136" s="2" t="s">
        <v>3687</v>
      </c>
      <c r="E1136" s="2" t="s">
        <v>39</v>
      </c>
      <c r="F1136" s="2" t="s">
        <v>1267</v>
      </c>
      <c r="G1136" s="2" t="s">
        <v>3688</v>
      </c>
      <c r="H1136" s="2" t="s">
        <v>3688</v>
      </c>
      <c r="I1136" s="2" t="s">
        <v>30</v>
      </c>
      <c r="J1136" s="2" t="s">
        <v>1114</v>
      </c>
      <c r="K1136" s="2" t="str">
        <f>"29"</f>
        <v>29</v>
      </c>
      <c r="L1136" s="2" t="str">
        <f>""</f>
        <v/>
      </c>
      <c r="M1136" s="2" t="str">
        <f>"98-290"</f>
        <v>98-290</v>
      </c>
      <c r="N1136" s="2" t="str">
        <f>"438294734"</f>
        <v>438294734</v>
      </c>
      <c r="O1136" s="2" t="s">
        <v>3689</v>
      </c>
      <c r="P1136" s="2" t="s">
        <v>121</v>
      </c>
    </row>
    <row r="1137" spans="1:16" x14ac:dyDescent="0.25">
      <c r="A1137" s="2">
        <v>81496</v>
      </c>
      <c r="B1137" s="2" t="str">
        <f>"000994437"</f>
        <v>000994437</v>
      </c>
      <c r="C1137" s="2" t="s">
        <v>16</v>
      </c>
      <c r="D1137" s="2" t="s">
        <v>3690</v>
      </c>
      <c r="E1137" s="2" t="s">
        <v>18</v>
      </c>
      <c r="F1137" s="2" t="s">
        <v>974</v>
      </c>
      <c r="G1137" s="2" t="s">
        <v>975</v>
      </c>
      <c r="H1137" s="2" t="s">
        <v>975</v>
      </c>
      <c r="I1137" s="2" t="s">
        <v>30</v>
      </c>
      <c r="J1137" s="2" t="s">
        <v>2702</v>
      </c>
      <c r="K1137" s="2" t="str">
        <f>"23"</f>
        <v>23</v>
      </c>
      <c r="L1137" s="2" t="str">
        <f>""</f>
        <v/>
      </c>
      <c r="M1137" s="2" t="str">
        <f>"07-100"</f>
        <v>07-100</v>
      </c>
      <c r="N1137" s="2" t="str">
        <f>"257924700"</f>
        <v>257924700</v>
      </c>
      <c r="O1137" s="2" t="s">
        <v>3691</v>
      </c>
      <c r="P1137" s="2" t="s">
        <v>121</v>
      </c>
    </row>
    <row r="1138" spans="1:16" x14ac:dyDescent="0.25">
      <c r="A1138" s="2">
        <v>30606</v>
      </c>
      <c r="B1138" s="2" t="str">
        <f>"221759410"</f>
        <v>221759410</v>
      </c>
      <c r="C1138" s="2" t="s">
        <v>16</v>
      </c>
      <c r="D1138" s="2" t="s">
        <v>3692</v>
      </c>
      <c r="E1138" s="2" t="s">
        <v>80</v>
      </c>
      <c r="F1138" s="2" t="s">
        <v>145</v>
      </c>
      <c r="G1138" s="2" t="s">
        <v>146</v>
      </c>
      <c r="H1138" s="2" t="s">
        <v>146</v>
      </c>
      <c r="I1138" s="2" t="s">
        <v>30</v>
      </c>
      <c r="J1138" s="2" t="s">
        <v>3693</v>
      </c>
      <c r="K1138" s="2" t="str">
        <f>"22"</f>
        <v>22</v>
      </c>
      <c r="L1138" s="2" t="str">
        <f>""</f>
        <v/>
      </c>
      <c r="M1138" s="2" t="str">
        <f>"84-200"</f>
        <v>84-200</v>
      </c>
      <c r="N1138" s="2" t="str">
        <f>"587708540"</f>
        <v>587708540</v>
      </c>
      <c r="O1138" s="2" t="s">
        <v>3694</v>
      </c>
      <c r="P1138" s="2" t="s">
        <v>121</v>
      </c>
    </row>
    <row r="1139" spans="1:16" x14ac:dyDescent="0.25">
      <c r="A1139" s="2">
        <v>57365</v>
      </c>
      <c r="B1139" s="2" t="str">
        <f>"000694362"</f>
        <v>000694362</v>
      </c>
      <c r="C1139" s="2" t="s">
        <v>16</v>
      </c>
      <c r="D1139" s="2" t="s">
        <v>3695</v>
      </c>
      <c r="E1139" s="2" t="s">
        <v>39</v>
      </c>
      <c r="F1139" s="2" t="s">
        <v>480</v>
      </c>
      <c r="G1139" s="2" t="s">
        <v>481</v>
      </c>
      <c r="H1139" s="2" t="s">
        <v>481</v>
      </c>
      <c r="I1139" s="2" t="s">
        <v>30</v>
      </c>
      <c r="J1139" s="2" t="s">
        <v>671</v>
      </c>
      <c r="K1139" s="2" t="str">
        <f>"1-3"</f>
        <v>1-3</v>
      </c>
      <c r="L1139" s="2" t="str">
        <f>""</f>
        <v/>
      </c>
      <c r="M1139" s="2" t="str">
        <f>"98-400"</f>
        <v>98-400</v>
      </c>
      <c r="N1139" s="2" t="str">
        <f>"0627841295"</f>
        <v>0627841295</v>
      </c>
      <c r="O1139" s="2" t="s">
        <v>3696</v>
      </c>
      <c r="P1139" s="2" t="s">
        <v>121</v>
      </c>
    </row>
    <row r="1140" spans="1:16" x14ac:dyDescent="0.25">
      <c r="A1140" s="2">
        <v>276917</v>
      </c>
      <c r="B1140" s="2" t="str">
        <f>"387821429"</f>
        <v>387821429</v>
      </c>
      <c r="C1140" s="2" t="s">
        <v>16</v>
      </c>
      <c r="D1140" s="2" t="s">
        <v>3697</v>
      </c>
      <c r="E1140" s="2" t="s">
        <v>112</v>
      </c>
      <c r="F1140" s="2" t="s">
        <v>3520</v>
      </c>
      <c r="G1140" s="2" t="s">
        <v>3698</v>
      </c>
      <c r="H1140" s="2" t="s">
        <v>3699</v>
      </c>
      <c r="I1140" s="2" t="s">
        <v>68</v>
      </c>
      <c r="J1140" s="2" t="s">
        <v>1300</v>
      </c>
      <c r="K1140" s="2" t="str">
        <f>"8"</f>
        <v>8</v>
      </c>
      <c r="L1140" s="2" t="str">
        <f>""</f>
        <v/>
      </c>
      <c r="M1140" s="2" t="str">
        <f>"22-150"</f>
        <v>22-150</v>
      </c>
      <c r="N1140" s="2" t="str">
        <f>"825750054"</f>
        <v>825750054</v>
      </c>
      <c r="O1140" s="2" t="s">
        <v>3700</v>
      </c>
      <c r="P1140" s="2" t="s">
        <v>121</v>
      </c>
    </row>
    <row r="1141" spans="1:16" x14ac:dyDescent="0.25">
      <c r="A1141" s="2">
        <v>57126</v>
      </c>
      <c r="B1141" s="2" t="str">
        <f>"000729712"</f>
        <v>000729712</v>
      </c>
      <c r="C1141" s="2" t="s">
        <v>16</v>
      </c>
      <c r="D1141" s="2" t="s">
        <v>3701</v>
      </c>
      <c r="E1141" s="2" t="s">
        <v>117</v>
      </c>
      <c r="F1141" s="2" t="s">
        <v>1170</v>
      </c>
      <c r="G1141" s="2" t="s">
        <v>1171</v>
      </c>
      <c r="H1141" s="2" t="s">
        <v>1171</v>
      </c>
      <c r="I1141" s="2" t="s">
        <v>30</v>
      </c>
      <c r="J1141" s="2" t="s">
        <v>3702</v>
      </c>
      <c r="K1141" s="2" t="str">
        <f>"3"</f>
        <v>3</v>
      </c>
      <c r="L1141" s="2" t="str">
        <f>""</f>
        <v/>
      </c>
      <c r="M1141" s="2" t="str">
        <f>"44-300"</f>
        <v>44-300</v>
      </c>
      <c r="N1141" s="2" t="str">
        <f>"324561993"</f>
        <v>324561993</v>
      </c>
      <c r="O1141" s="2" t="s">
        <v>3703</v>
      </c>
      <c r="P1141" s="2" t="s">
        <v>121</v>
      </c>
    </row>
    <row r="1142" spans="1:16" x14ac:dyDescent="0.25">
      <c r="A1142" s="2">
        <v>60813</v>
      </c>
      <c r="B1142" s="2" t="str">
        <f>"000837821"</f>
        <v>000837821</v>
      </c>
      <c r="C1142" s="2" t="s">
        <v>16</v>
      </c>
      <c r="D1142" s="2" t="s">
        <v>3704</v>
      </c>
      <c r="E1142" s="2" t="s">
        <v>18</v>
      </c>
      <c r="F1142" s="2" t="s">
        <v>451</v>
      </c>
      <c r="G1142" s="2" t="s">
        <v>704</v>
      </c>
      <c r="H1142" s="2" t="s">
        <v>704</v>
      </c>
      <c r="I1142" s="2" t="s">
        <v>30</v>
      </c>
      <c r="J1142" s="2" t="s">
        <v>1027</v>
      </c>
      <c r="K1142" s="2" t="str">
        <f>"85"</f>
        <v>85</v>
      </c>
      <c r="L1142" s="2" t="str">
        <f>""</f>
        <v/>
      </c>
      <c r="M1142" s="2" t="str">
        <f>"05-200"</f>
        <v>05-200</v>
      </c>
      <c r="N1142" s="2" t="str">
        <f>"227762785"</f>
        <v>227762785</v>
      </c>
      <c r="O1142" s="2" t="s">
        <v>3705</v>
      </c>
      <c r="P1142" s="2" t="s">
        <v>121</v>
      </c>
    </row>
    <row r="1143" spans="1:16" x14ac:dyDescent="0.25">
      <c r="A1143" s="2">
        <v>113926</v>
      </c>
      <c r="B1143" s="2" t="str">
        <f>"020114975"</f>
        <v>020114975</v>
      </c>
      <c r="C1143" s="2" t="s">
        <v>16</v>
      </c>
      <c r="D1143" s="2" t="s">
        <v>3706</v>
      </c>
      <c r="E1143" s="2" t="s">
        <v>64</v>
      </c>
      <c r="F1143" s="2" t="s">
        <v>1925</v>
      </c>
      <c r="G1143" s="2" t="s">
        <v>1926</v>
      </c>
      <c r="H1143" s="2" t="s">
        <v>1926</v>
      </c>
      <c r="I1143" s="2" t="s">
        <v>30</v>
      </c>
      <c r="J1143" s="2" t="s">
        <v>188</v>
      </c>
      <c r="K1143" s="2" t="str">
        <f>"27"</f>
        <v>27</v>
      </c>
      <c r="L1143" s="2" t="str">
        <f>""</f>
        <v/>
      </c>
      <c r="M1143" s="2" t="str">
        <f>"56-100"</f>
        <v>56-100</v>
      </c>
      <c r="N1143" s="2" t="str">
        <f>"713892546"</f>
        <v>713892546</v>
      </c>
      <c r="O1143" s="2" t="s">
        <v>3707</v>
      </c>
      <c r="P1143" s="2" t="s">
        <v>121</v>
      </c>
    </row>
    <row r="1144" spans="1:16" x14ac:dyDescent="0.25">
      <c r="A1144" s="2">
        <v>66752</v>
      </c>
      <c r="B1144" s="2" t="str">
        <f>"000833303"</f>
        <v>000833303</v>
      </c>
      <c r="C1144" s="2" t="s">
        <v>16</v>
      </c>
      <c r="D1144" s="2" t="s">
        <v>3708</v>
      </c>
      <c r="E1144" s="2" t="s">
        <v>97</v>
      </c>
      <c r="F1144" s="2" t="s">
        <v>3709</v>
      </c>
      <c r="G1144" s="2" t="s">
        <v>3710</v>
      </c>
      <c r="H1144" s="2" t="s">
        <v>3710</v>
      </c>
      <c r="I1144" s="2" t="s">
        <v>30</v>
      </c>
      <c r="J1144" s="2" t="s">
        <v>138</v>
      </c>
      <c r="K1144" s="2" t="str">
        <f>"1B"</f>
        <v>1B</v>
      </c>
      <c r="L1144" s="2" t="str">
        <f>""</f>
        <v/>
      </c>
      <c r="M1144" s="2" t="str">
        <f>"18-200"</f>
        <v>18-200</v>
      </c>
      <c r="N1144" s="2" t="str">
        <f>"862752552"</f>
        <v>862752552</v>
      </c>
      <c r="O1144" s="2" t="s">
        <v>3711</v>
      </c>
      <c r="P1144" s="2" t="s">
        <v>121</v>
      </c>
    </row>
    <row r="1145" spans="1:16" x14ac:dyDescent="0.25">
      <c r="A1145" s="2">
        <v>47010</v>
      </c>
      <c r="B1145" s="2" t="str">
        <f>"000694468"</f>
        <v>000694468</v>
      </c>
      <c r="C1145" s="2" t="s">
        <v>16</v>
      </c>
      <c r="D1145" s="2" t="s">
        <v>3712</v>
      </c>
      <c r="E1145" s="2" t="s">
        <v>18</v>
      </c>
      <c r="F1145" s="2" t="s">
        <v>3713</v>
      </c>
      <c r="G1145" s="2" t="s">
        <v>3714</v>
      </c>
      <c r="H1145" s="2" t="s">
        <v>3714</v>
      </c>
      <c r="I1145" s="2" t="s">
        <v>30</v>
      </c>
      <c r="J1145" s="2" t="s">
        <v>188</v>
      </c>
      <c r="K1145" s="2" t="str">
        <f>"52"</f>
        <v>52</v>
      </c>
      <c r="L1145" s="2" t="str">
        <f>""</f>
        <v/>
      </c>
      <c r="M1145" s="2" t="str">
        <f>"07-200"</f>
        <v>07-200</v>
      </c>
      <c r="N1145" s="2" t="str">
        <f>"297425007"</f>
        <v>297425007</v>
      </c>
      <c r="O1145" s="2" t="s">
        <v>3715</v>
      </c>
      <c r="P1145" s="2" t="s">
        <v>121</v>
      </c>
    </row>
    <row r="1146" spans="1:16" x14ac:dyDescent="0.25">
      <c r="A1146" s="2">
        <v>5875</v>
      </c>
      <c r="B1146" s="2" t="str">
        <f>"350706074"</f>
        <v>350706074</v>
      </c>
      <c r="C1146" s="2" t="s">
        <v>16</v>
      </c>
      <c r="D1146" s="2" t="s">
        <v>3716</v>
      </c>
      <c r="E1146" s="2" t="s">
        <v>27</v>
      </c>
      <c r="F1146" s="2" t="s">
        <v>1892</v>
      </c>
      <c r="G1146" s="2" t="s">
        <v>3717</v>
      </c>
      <c r="H1146" s="2" t="s">
        <v>3717</v>
      </c>
      <c r="I1146" s="2" t="s">
        <v>68</v>
      </c>
      <c r="J1146" s="2" t="s">
        <v>3718</v>
      </c>
      <c r="K1146" s="2" t="str">
        <f>"2"</f>
        <v>2</v>
      </c>
      <c r="L1146" s="2" t="str">
        <f>""</f>
        <v/>
      </c>
      <c r="M1146" s="2" t="str">
        <f>"32-080"</f>
        <v>32-080</v>
      </c>
      <c r="N1146" s="2" t="str">
        <f>"122854020"</f>
        <v>122854020</v>
      </c>
      <c r="O1146" s="2" t="s">
        <v>3719</v>
      </c>
      <c r="P1146" s="2" t="s">
        <v>121</v>
      </c>
    </row>
    <row r="1147" spans="1:16" x14ac:dyDescent="0.25">
      <c r="A1147" s="2">
        <v>74292</v>
      </c>
      <c r="B1147" s="2" t="str">
        <f>"891092130"</f>
        <v>891092130</v>
      </c>
      <c r="C1147" s="2" t="s">
        <v>16</v>
      </c>
      <c r="D1147" s="2" t="s">
        <v>3720</v>
      </c>
      <c r="E1147" s="2" t="s">
        <v>64</v>
      </c>
      <c r="F1147" s="2" t="s">
        <v>236</v>
      </c>
      <c r="G1147" s="2" t="s">
        <v>237</v>
      </c>
      <c r="H1147" s="2" t="s">
        <v>237</v>
      </c>
      <c r="I1147" s="2" t="s">
        <v>30</v>
      </c>
      <c r="J1147" s="2" t="s">
        <v>138</v>
      </c>
      <c r="K1147" s="2" t="str">
        <f>"10"</f>
        <v>10</v>
      </c>
      <c r="L1147" s="2" t="str">
        <f>""</f>
        <v/>
      </c>
      <c r="M1147" s="2" t="str">
        <f>"57-200"</f>
        <v>57-200</v>
      </c>
      <c r="N1147" s="2" t="str">
        <f>"748157828"</f>
        <v>748157828</v>
      </c>
      <c r="O1147" s="2" t="s">
        <v>3721</v>
      </c>
      <c r="P1147" s="2" t="s">
        <v>121</v>
      </c>
    </row>
    <row r="1148" spans="1:16" x14ac:dyDescent="0.25">
      <c r="A1148" s="2">
        <v>15039</v>
      </c>
      <c r="B1148" s="2" t="str">
        <f>"000730997"</f>
        <v>000730997</v>
      </c>
      <c r="C1148" s="2" t="s">
        <v>16</v>
      </c>
      <c r="D1148" s="2" t="s">
        <v>3722</v>
      </c>
      <c r="E1148" s="2" t="s">
        <v>117</v>
      </c>
      <c r="F1148" s="2" t="s">
        <v>1763</v>
      </c>
      <c r="G1148" s="2" t="s">
        <v>1763</v>
      </c>
      <c r="H1148" s="2" t="s">
        <v>1763</v>
      </c>
      <c r="I1148" s="2" t="s">
        <v>30</v>
      </c>
      <c r="J1148" s="2" t="s">
        <v>1114</v>
      </c>
      <c r="K1148" s="2" t="str">
        <f>"93A"</f>
        <v>93A</v>
      </c>
      <c r="L1148" s="2" t="str">
        <f>""</f>
        <v/>
      </c>
      <c r="M1148" s="2" t="str">
        <f>"41-800"</f>
        <v>41-800</v>
      </c>
      <c r="N1148" s="2" t="str">
        <f>"323702240"</f>
        <v>323702240</v>
      </c>
      <c r="O1148" s="2" t="s">
        <v>3723</v>
      </c>
      <c r="P1148" s="2" t="s">
        <v>121</v>
      </c>
    </row>
    <row r="1149" spans="1:16" x14ac:dyDescent="0.25">
      <c r="A1149" s="2">
        <v>63984</v>
      </c>
      <c r="B1149" s="2" t="str">
        <f>"001018309"</f>
        <v>001018309</v>
      </c>
      <c r="C1149" s="2" t="s">
        <v>16</v>
      </c>
      <c r="D1149" s="2" t="s">
        <v>3724</v>
      </c>
      <c r="E1149" s="2" t="s">
        <v>27</v>
      </c>
      <c r="F1149" s="2" t="s">
        <v>866</v>
      </c>
      <c r="G1149" s="2" t="s">
        <v>3725</v>
      </c>
      <c r="H1149" s="2" t="s">
        <v>3725</v>
      </c>
      <c r="I1149" s="2" t="s">
        <v>30</v>
      </c>
      <c r="J1149" s="2" t="s">
        <v>3726</v>
      </c>
      <c r="K1149" s="2" t="str">
        <f>"5"</f>
        <v>5</v>
      </c>
      <c r="L1149" s="2" t="str">
        <f>""</f>
        <v/>
      </c>
      <c r="M1149" s="2" t="str">
        <f>"34-500"</f>
        <v>34-500</v>
      </c>
      <c r="N1149" s="2" t="str">
        <f>"182063973"</f>
        <v>182063973</v>
      </c>
      <c r="O1149" s="2" t="s">
        <v>3727</v>
      </c>
      <c r="P1149" s="2" t="s">
        <v>121</v>
      </c>
    </row>
    <row r="1150" spans="1:16" hidden="1" x14ac:dyDescent="0.25">
      <c r="A1150">
        <v>129688</v>
      </c>
      <c r="B1150" t="str">
        <f>"362764872"</f>
        <v>362764872</v>
      </c>
      <c r="C1150" t="s">
        <v>16</v>
      </c>
      <c r="D1150" t="s">
        <v>3728</v>
      </c>
      <c r="E1150" t="s">
        <v>181</v>
      </c>
      <c r="F1150" t="s">
        <v>3729</v>
      </c>
      <c r="G1150" t="s">
        <v>3730</v>
      </c>
      <c r="H1150" t="s">
        <v>1811</v>
      </c>
      <c r="I1150" t="s">
        <v>68</v>
      </c>
      <c r="J1150" t="s">
        <v>2569</v>
      </c>
      <c r="K1150" t="str">
        <f>"22"</f>
        <v>22</v>
      </c>
      <c r="L1150" t="str">
        <f>""</f>
        <v/>
      </c>
      <c r="M1150" t="str">
        <f>"89-200"</f>
        <v>89-200</v>
      </c>
      <c r="N1150" t="str">
        <f>"501389843"</f>
        <v>501389843</v>
      </c>
      <c r="O1150" t="s">
        <v>3731</v>
      </c>
      <c r="P1150" t="s">
        <v>24</v>
      </c>
    </row>
    <row r="1151" spans="1:16" x14ac:dyDescent="0.25">
      <c r="A1151" s="2">
        <v>25817</v>
      </c>
      <c r="B1151" s="2" t="str">
        <f>"000734972"</f>
        <v>000734972</v>
      </c>
      <c r="C1151" s="2" t="s">
        <v>16</v>
      </c>
      <c r="D1151" s="2" t="s">
        <v>3732</v>
      </c>
      <c r="E1151" s="2" t="s">
        <v>39</v>
      </c>
      <c r="F1151" s="2" t="s">
        <v>50</v>
      </c>
      <c r="G1151" s="2" t="s">
        <v>51</v>
      </c>
      <c r="H1151" s="2" t="s">
        <v>51</v>
      </c>
      <c r="I1151" s="2" t="s">
        <v>30</v>
      </c>
      <c r="J1151" s="2" t="s">
        <v>1005</v>
      </c>
      <c r="K1151" s="2" t="str">
        <f>"3a"</f>
        <v>3a</v>
      </c>
      <c r="L1151" s="2" t="str">
        <f>""</f>
        <v/>
      </c>
      <c r="M1151" s="2" t="str">
        <f>"98-220"</f>
        <v>98-220</v>
      </c>
      <c r="N1151" s="2" t="str">
        <f>"438233634"</f>
        <v>438233634</v>
      </c>
      <c r="O1151" s="2" t="s">
        <v>3733</v>
      </c>
      <c r="P1151" s="2" t="s">
        <v>121</v>
      </c>
    </row>
    <row r="1152" spans="1:16" x14ac:dyDescent="0.25">
      <c r="A1152" s="2">
        <v>38697</v>
      </c>
      <c r="B1152" s="2" t="str">
        <f>"230891618"</f>
        <v>230891618</v>
      </c>
      <c r="C1152" s="2" t="s">
        <v>16</v>
      </c>
      <c r="D1152" s="2" t="s">
        <v>3734</v>
      </c>
      <c r="E1152" s="2" t="s">
        <v>64</v>
      </c>
      <c r="F1152" s="2" t="s">
        <v>1470</v>
      </c>
      <c r="G1152" s="2" t="s">
        <v>1471</v>
      </c>
      <c r="H1152" s="2" t="s">
        <v>1471</v>
      </c>
      <c r="I1152" s="2" t="s">
        <v>30</v>
      </c>
      <c r="J1152" s="2" t="s">
        <v>418</v>
      </c>
      <c r="K1152" s="2" t="str">
        <f>"1"</f>
        <v>1</v>
      </c>
      <c r="L1152" s="2" t="str">
        <f>""</f>
        <v/>
      </c>
      <c r="M1152" s="2" t="str">
        <f>"59-900"</f>
        <v>59-900</v>
      </c>
      <c r="N1152" s="2" t="str">
        <f>"757752608"</f>
        <v>757752608</v>
      </c>
      <c r="O1152" s="2" t="s">
        <v>3735</v>
      </c>
      <c r="P1152" s="2" t="s">
        <v>121</v>
      </c>
    </row>
    <row r="1153" spans="1:16" x14ac:dyDescent="0.25">
      <c r="A1153" s="2">
        <v>60479</v>
      </c>
      <c r="B1153" s="2" t="str">
        <f>"001009859"</f>
        <v>001009859</v>
      </c>
      <c r="C1153" s="2" t="s">
        <v>16</v>
      </c>
      <c r="D1153" s="2" t="s">
        <v>3736</v>
      </c>
      <c r="E1153" s="2" t="s">
        <v>18</v>
      </c>
      <c r="F1153" s="2" t="s">
        <v>451</v>
      </c>
      <c r="G1153" s="2" t="s">
        <v>2834</v>
      </c>
      <c r="H1153" s="2" t="s">
        <v>2834</v>
      </c>
      <c r="I1153" s="2" t="s">
        <v>30</v>
      </c>
      <c r="J1153" s="2" t="s">
        <v>3737</v>
      </c>
      <c r="K1153" s="2" t="str">
        <f>"1"</f>
        <v>1</v>
      </c>
      <c r="L1153" s="2" t="str">
        <f>""</f>
        <v/>
      </c>
      <c r="M1153" s="2" t="str">
        <f>"05-220"</f>
        <v>05-220</v>
      </c>
      <c r="N1153" s="2" t="str">
        <f>"227602497"</f>
        <v>227602497</v>
      </c>
      <c r="O1153" s="2" t="s">
        <v>3738</v>
      </c>
      <c r="P1153" s="2" t="s">
        <v>121</v>
      </c>
    </row>
    <row r="1154" spans="1:16" x14ac:dyDescent="0.25">
      <c r="A1154" s="2">
        <v>77885</v>
      </c>
      <c r="B1154" s="2" t="str">
        <f>"970033273"</f>
        <v>970033273</v>
      </c>
      <c r="C1154" s="2" t="s">
        <v>16</v>
      </c>
      <c r="D1154" s="2" t="s">
        <v>3739</v>
      </c>
      <c r="E1154" s="2" t="s">
        <v>240</v>
      </c>
      <c r="F1154" s="2" t="s">
        <v>719</v>
      </c>
      <c r="G1154" s="2" t="s">
        <v>719</v>
      </c>
      <c r="H1154" s="2" t="s">
        <v>719</v>
      </c>
      <c r="I1154" s="2" t="s">
        <v>30</v>
      </c>
      <c r="J1154" s="2" t="s">
        <v>3740</v>
      </c>
      <c r="K1154" s="2" t="str">
        <f>"13"</f>
        <v>13</v>
      </c>
      <c r="L1154" s="2" t="str">
        <f>""</f>
        <v/>
      </c>
      <c r="M1154" s="2" t="str">
        <f>"65-060"</f>
        <v>65-060</v>
      </c>
      <c r="N1154" s="2" t="str">
        <f>"683241695"</f>
        <v>683241695</v>
      </c>
      <c r="O1154" s="2" t="s">
        <v>3741</v>
      </c>
      <c r="P1154" s="2" t="s">
        <v>121</v>
      </c>
    </row>
    <row r="1155" spans="1:16" x14ac:dyDescent="0.25">
      <c r="A1155" s="2">
        <v>35226</v>
      </c>
      <c r="B1155" s="2" t="str">
        <f>"092510086"</f>
        <v>092510086</v>
      </c>
      <c r="C1155" s="2" t="s">
        <v>16</v>
      </c>
      <c r="D1155" s="2" t="s">
        <v>3742</v>
      </c>
      <c r="E1155" s="2" t="s">
        <v>181</v>
      </c>
      <c r="F1155" s="2" t="s">
        <v>3743</v>
      </c>
      <c r="G1155" s="2" t="s">
        <v>3744</v>
      </c>
      <c r="H1155" s="2" t="s">
        <v>3744</v>
      </c>
      <c r="I1155" s="2" t="s">
        <v>30</v>
      </c>
      <c r="J1155" s="2" t="s">
        <v>3745</v>
      </c>
      <c r="K1155" s="2" t="str">
        <f>"14"</f>
        <v>14</v>
      </c>
      <c r="L1155" s="2" t="str">
        <f>""</f>
        <v/>
      </c>
      <c r="M1155" s="2" t="str">
        <f>"88-400"</f>
        <v>88-400</v>
      </c>
      <c r="N1155" s="2" t="str">
        <f>"523020438"</f>
        <v>523020438</v>
      </c>
      <c r="O1155" s="2" t="s">
        <v>3746</v>
      </c>
      <c r="P1155" s="2" t="s">
        <v>121</v>
      </c>
    </row>
    <row r="1156" spans="1:16" x14ac:dyDescent="0.25">
      <c r="A1156" s="2">
        <v>7526</v>
      </c>
      <c r="B1156" s="2" t="str">
        <f>"000745622"</f>
        <v>000745622</v>
      </c>
      <c r="C1156" s="2" t="s">
        <v>16</v>
      </c>
      <c r="D1156" s="2" t="s">
        <v>3747</v>
      </c>
      <c r="E1156" s="2" t="s">
        <v>117</v>
      </c>
      <c r="F1156" s="2" t="s">
        <v>2633</v>
      </c>
      <c r="G1156" s="2" t="s">
        <v>2636</v>
      </c>
      <c r="H1156" s="2" t="s">
        <v>2636</v>
      </c>
      <c r="I1156" s="2" t="s">
        <v>30</v>
      </c>
      <c r="J1156" s="2" t="s">
        <v>1389</v>
      </c>
      <c r="K1156" s="2" t="str">
        <f>"10"</f>
        <v>10</v>
      </c>
      <c r="L1156" s="2" t="str">
        <f>"-"</f>
        <v>-</v>
      </c>
      <c r="M1156" s="2" t="str">
        <f>"34-300"</f>
        <v>34-300</v>
      </c>
      <c r="N1156" s="2" t="str">
        <f>"338613309"</f>
        <v>338613309</v>
      </c>
      <c r="O1156" s="2" t="s">
        <v>3748</v>
      </c>
      <c r="P1156" s="2" t="s">
        <v>121</v>
      </c>
    </row>
    <row r="1157" spans="1:16" x14ac:dyDescent="0.25">
      <c r="A1157" s="2">
        <v>31074</v>
      </c>
      <c r="B1157" s="2" t="str">
        <f>"000739254"</f>
        <v>000739254</v>
      </c>
      <c r="C1157" s="2" t="s">
        <v>16</v>
      </c>
      <c r="D1157" s="2" t="s">
        <v>3749</v>
      </c>
      <c r="E1157" s="2" t="s">
        <v>112</v>
      </c>
      <c r="F1157" s="2" t="s">
        <v>3750</v>
      </c>
      <c r="G1157" s="2" t="s">
        <v>3751</v>
      </c>
      <c r="H1157" s="2" t="s">
        <v>3751</v>
      </c>
      <c r="I1157" s="2" t="s">
        <v>30</v>
      </c>
      <c r="J1157" s="2" t="s">
        <v>1193</v>
      </c>
      <c r="K1157" s="2" t="str">
        <f>"17"</f>
        <v>17</v>
      </c>
      <c r="L1157" s="2" t="str">
        <f>""</f>
        <v/>
      </c>
      <c r="M1157" s="2" t="str">
        <f>"22-200"</f>
        <v>22-200</v>
      </c>
      <c r="N1157" s="2" t="str">
        <f>"0825721271"</f>
        <v>0825721271</v>
      </c>
      <c r="O1157" s="2" t="s">
        <v>3752</v>
      </c>
      <c r="P1157" s="2" t="s">
        <v>121</v>
      </c>
    </row>
    <row r="1158" spans="1:16" x14ac:dyDescent="0.25">
      <c r="A1158" s="2">
        <v>55376</v>
      </c>
      <c r="B1158" s="2" t="str">
        <f>"291137934"</f>
        <v>291137934</v>
      </c>
      <c r="C1158" s="2" t="s">
        <v>16</v>
      </c>
      <c r="D1158" s="2" t="s">
        <v>3753</v>
      </c>
      <c r="E1158" s="2" t="s">
        <v>74</v>
      </c>
      <c r="F1158" s="2" t="s">
        <v>3754</v>
      </c>
      <c r="G1158" s="2" t="s">
        <v>3755</v>
      </c>
      <c r="H1158" s="2" t="s">
        <v>3755</v>
      </c>
      <c r="I1158" s="2" t="s">
        <v>30</v>
      </c>
      <c r="J1158" s="2" t="s">
        <v>99</v>
      </c>
      <c r="K1158" s="2" t="str">
        <f>"38"</f>
        <v>38</v>
      </c>
      <c r="L1158" s="2" t="str">
        <f>""</f>
        <v/>
      </c>
      <c r="M1158" s="2" t="str">
        <f>"29-100"</f>
        <v>29-100</v>
      </c>
      <c r="N1158" s="2" t="str">
        <f>"413943319"</f>
        <v>413943319</v>
      </c>
      <c r="O1158" s="2" t="s">
        <v>3756</v>
      </c>
      <c r="P1158" s="2" t="s">
        <v>121</v>
      </c>
    </row>
    <row r="1159" spans="1:16" x14ac:dyDescent="0.25">
      <c r="A1159" s="2">
        <v>43691</v>
      </c>
      <c r="B1159" s="2" t="str">
        <f>"004618145"</f>
        <v>004618145</v>
      </c>
      <c r="C1159" s="2" t="s">
        <v>16</v>
      </c>
      <c r="D1159" s="2" t="s">
        <v>3757</v>
      </c>
      <c r="E1159" s="2" t="s">
        <v>157</v>
      </c>
      <c r="F1159" s="2" t="s">
        <v>2137</v>
      </c>
      <c r="G1159" s="2" t="s">
        <v>3758</v>
      </c>
      <c r="H1159" s="2" t="s">
        <v>3758</v>
      </c>
      <c r="I1159" s="2" t="s">
        <v>30</v>
      </c>
      <c r="J1159" s="2" t="s">
        <v>297</v>
      </c>
      <c r="K1159" s="2" t="str">
        <f>"42"</f>
        <v>42</v>
      </c>
      <c r="L1159" s="2" t="str">
        <f>""</f>
        <v/>
      </c>
      <c r="M1159" s="2" t="str">
        <f>"64-510"</f>
        <v>64-510</v>
      </c>
      <c r="N1159" s="2" t="str">
        <f>"672540353"</f>
        <v>672540353</v>
      </c>
      <c r="O1159" s="2" t="s">
        <v>3759</v>
      </c>
      <c r="P1159" s="2" t="s">
        <v>121</v>
      </c>
    </row>
    <row r="1160" spans="1:16" x14ac:dyDescent="0.25">
      <c r="A1160" s="2">
        <v>12106</v>
      </c>
      <c r="B1160" s="2" t="str">
        <f>"000707998"</f>
        <v>000707998</v>
      </c>
      <c r="C1160" s="2" t="s">
        <v>16</v>
      </c>
      <c r="D1160" s="2" t="s">
        <v>3760</v>
      </c>
      <c r="E1160" s="2" t="s">
        <v>157</v>
      </c>
      <c r="F1160" s="2" t="s">
        <v>3761</v>
      </c>
      <c r="G1160" s="2" t="s">
        <v>3762</v>
      </c>
      <c r="H1160" s="2" t="s">
        <v>3762</v>
      </c>
      <c r="I1160" s="2" t="s">
        <v>30</v>
      </c>
      <c r="J1160" s="2" t="s">
        <v>540</v>
      </c>
      <c r="K1160" s="2" t="str">
        <f>"10"</f>
        <v>10</v>
      </c>
      <c r="L1160" s="2" t="str">
        <f>""</f>
        <v/>
      </c>
      <c r="M1160" s="2" t="str">
        <f>"62-300"</f>
        <v>62-300</v>
      </c>
      <c r="N1160" s="2" t="str">
        <f>"603993506"</f>
        <v>603993506</v>
      </c>
      <c r="O1160" s="2" t="s">
        <v>3763</v>
      </c>
      <c r="P1160" s="2" t="s">
        <v>121</v>
      </c>
    </row>
    <row r="1161" spans="1:16" x14ac:dyDescent="0.25">
      <c r="A1161" s="2">
        <v>78973</v>
      </c>
      <c r="B1161" s="2" t="str">
        <f>"410194604"</f>
        <v>410194604</v>
      </c>
      <c r="C1161" s="2" t="s">
        <v>16</v>
      </c>
      <c r="D1161" s="2" t="s">
        <v>3764</v>
      </c>
      <c r="E1161" s="2" t="s">
        <v>240</v>
      </c>
      <c r="F1161" s="2" t="s">
        <v>3765</v>
      </c>
      <c r="G1161" s="2" t="s">
        <v>3766</v>
      </c>
      <c r="H1161" s="2" t="s">
        <v>3766</v>
      </c>
      <c r="I1161" s="2" t="s">
        <v>30</v>
      </c>
      <c r="J1161" s="2" t="s">
        <v>3767</v>
      </c>
      <c r="K1161" s="2" t="str">
        <f>"1"</f>
        <v>1</v>
      </c>
      <c r="L1161" s="2" t="str">
        <f>""</f>
        <v/>
      </c>
      <c r="M1161" s="2" t="str">
        <f>"67-400"</f>
        <v>67-400</v>
      </c>
      <c r="N1161" s="2" t="str">
        <f>"655402030"</f>
        <v>655402030</v>
      </c>
      <c r="O1161" s="2" t="s">
        <v>3768</v>
      </c>
      <c r="P1161" s="2" t="s">
        <v>121</v>
      </c>
    </row>
    <row r="1162" spans="1:16" x14ac:dyDescent="0.25">
      <c r="A1162" s="2">
        <v>272641</v>
      </c>
      <c r="B1162" s="2" t="str">
        <f>"41019460400023"</f>
        <v>41019460400023</v>
      </c>
      <c r="C1162" s="2" t="s">
        <v>16</v>
      </c>
      <c r="D1162" s="2" t="s">
        <v>3769</v>
      </c>
      <c r="E1162" s="2" t="s">
        <v>240</v>
      </c>
      <c r="F1162" s="2" t="s">
        <v>3765</v>
      </c>
      <c r="G1162" s="2" t="s">
        <v>3770</v>
      </c>
      <c r="H1162" s="2" t="s">
        <v>3770</v>
      </c>
      <c r="I1162" s="2" t="s">
        <v>30</v>
      </c>
      <c r="J1162" s="2" t="s">
        <v>713</v>
      </c>
      <c r="K1162" s="2" t="str">
        <f>"1"</f>
        <v>1</v>
      </c>
      <c r="L1162" s="2" t="str">
        <f>""</f>
        <v/>
      </c>
      <c r="M1162" s="2" t="str">
        <f>"67-410"</f>
        <v>67-410</v>
      </c>
      <c r="N1162" s="2" t="str">
        <f>"655402030"</f>
        <v>655402030</v>
      </c>
      <c r="O1162" s="2" t="s">
        <v>3768</v>
      </c>
      <c r="P1162" s="2" t="s">
        <v>121</v>
      </c>
    </row>
    <row r="1163" spans="1:16" hidden="1" x14ac:dyDescent="0.25">
      <c r="A1163">
        <v>122724</v>
      </c>
      <c r="B1163" t="str">
        <f>"022387080"</f>
        <v>022387080</v>
      </c>
      <c r="C1163" t="s">
        <v>16</v>
      </c>
      <c r="D1163" t="s">
        <v>3771</v>
      </c>
      <c r="E1163" t="s">
        <v>64</v>
      </c>
      <c r="F1163" t="s">
        <v>208</v>
      </c>
      <c r="G1163" t="s">
        <v>209</v>
      </c>
      <c r="H1163" t="s">
        <v>209</v>
      </c>
      <c r="I1163" t="s">
        <v>30</v>
      </c>
      <c r="J1163" t="s">
        <v>1288</v>
      </c>
      <c r="K1163" t="str">
        <f>"35"</f>
        <v>35</v>
      </c>
      <c r="L1163" t="str">
        <f>""</f>
        <v/>
      </c>
      <c r="M1163" t="str">
        <f>"59-300"</f>
        <v>59-300</v>
      </c>
      <c r="N1163" t="str">
        <f>"768456594"</f>
        <v>768456594</v>
      </c>
      <c r="P1163" t="s">
        <v>24</v>
      </c>
    </row>
    <row r="1164" spans="1:16" hidden="1" x14ac:dyDescent="0.25">
      <c r="A1164">
        <v>115053</v>
      </c>
      <c r="B1164" t="str">
        <f>"146725170"</f>
        <v>146725170</v>
      </c>
      <c r="C1164" t="s">
        <v>16</v>
      </c>
      <c r="D1164" t="s">
        <v>3772</v>
      </c>
      <c r="E1164" t="s">
        <v>18</v>
      </c>
      <c r="F1164" t="s">
        <v>19</v>
      </c>
      <c r="G1164" t="s">
        <v>1299</v>
      </c>
      <c r="H1164" t="s">
        <v>1299</v>
      </c>
      <c r="I1164" t="s">
        <v>21</v>
      </c>
      <c r="J1164" t="s">
        <v>3773</v>
      </c>
      <c r="K1164" t="str">
        <f>"28"</f>
        <v>28</v>
      </c>
      <c r="L1164" t="str">
        <f>""</f>
        <v/>
      </c>
      <c r="M1164" t="str">
        <f>"05-077"</f>
        <v>05-077</v>
      </c>
      <c r="N1164" t="str">
        <f>"227733377"</f>
        <v>227733377</v>
      </c>
      <c r="O1164" t="s">
        <v>3774</v>
      </c>
      <c r="P1164" t="s">
        <v>24</v>
      </c>
    </row>
    <row r="1165" spans="1:16" hidden="1" x14ac:dyDescent="0.25">
      <c r="A1165">
        <v>130414</v>
      </c>
      <c r="B1165" t="str">
        <f>"363989142"</f>
        <v>363989142</v>
      </c>
      <c r="C1165" t="s">
        <v>16</v>
      </c>
      <c r="D1165" t="s">
        <v>3775</v>
      </c>
      <c r="E1165" t="s">
        <v>181</v>
      </c>
      <c r="F1165" t="s">
        <v>1275</v>
      </c>
      <c r="G1165" t="s">
        <v>3776</v>
      </c>
      <c r="H1165" t="s">
        <v>3776</v>
      </c>
      <c r="I1165" t="s">
        <v>68</v>
      </c>
      <c r="J1165" t="s">
        <v>1051</v>
      </c>
      <c r="K1165" t="str">
        <f>"10"</f>
        <v>10</v>
      </c>
      <c r="L1165" t="str">
        <f>""</f>
        <v/>
      </c>
      <c r="M1165" t="str">
        <f>"86-022"</f>
        <v>86-022</v>
      </c>
      <c r="N1165" t="str">
        <f>"518675600"</f>
        <v>518675600</v>
      </c>
      <c r="O1165" t="s">
        <v>3777</v>
      </c>
      <c r="P1165" t="s">
        <v>24</v>
      </c>
    </row>
    <row r="1166" spans="1:16" x14ac:dyDescent="0.25">
      <c r="A1166" s="2">
        <v>14787</v>
      </c>
      <c r="B1166" s="2" t="str">
        <f>"017384450"</f>
        <v>017384450</v>
      </c>
      <c r="C1166" s="2" t="s">
        <v>25</v>
      </c>
      <c r="D1166" s="2" t="s">
        <v>3778</v>
      </c>
      <c r="E1166" s="2" t="s">
        <v>18</v>
      </c>
      <c r="F1166" s="2" t="s">
        <v>19</v>
      </c>
      <c r="G1166" s="2" t="s">
        <v>886</v>
      </c>
      <c r="H1166" s="2" t="s">
        <v>886</v>
      </c>
      <c r="I1166" s="2" t="s">
        <v>21</v>
      </c>
      <c r="J1166" s="2" t="s">
        <v>3779</v>
      </c>
      <c r="K1166" s="2" t="str">
        <f>"4"</f>
        <v>4</v>
      </c>
      <c r="L1166" s="2" t="str">
        <f>""</f>
        <v/>
      </c>
      <c r="M1166" s="2" t="str">
        <f>"00-781"</f>
        <v>00-781</v>
      </c>
      <c r="N1166" s="2" t="str">
        <f>"226465725"</f>
        <v>226465725</v>
      </c>
      <c r="O1166" s="2" t="s">
        <v>3780</v>
      </c>
      <c r="P1166" s="2" t="s">
        <v>121</v>
      </c>
    </row>
    <row r="1167" spans="1:16" hidden="1" x14ac:dyDescent="0.25">
      <c r="A1167">
        <v>129055</v>
      </c>
      <c r="B1167" t="str">
        <f>"362470120"</f>
        <v>362470120</v>
      </c>
      <c r="C1167" t="s">
        <v>25</v>
      </c>
      <c r="D1167" t="s">
        <v>3781</v>
      </c>
      <c r="E1167" t="s">
        <v>112</v>
      </c>
      <c r="F1167" t="s">
        <v>113</v>
      </c>
      <c r="G1167" t="s">
        <v>113</v>
      </c>
      <c r="H1167" t="s">
        <v>113</v>
      </c>
      <c r="I1167" t="s">
        <v>30</v>
      </c>
      <c r="J1167" t="s">
        <v>3782</v>
      </c>
      <c r="K1167" t="str">
        <f>"8"</f>
        <v>8</v>
      </c>
      <c r="L1167" t="str">
        <f>""</f>
        <v/>
      </c>
      <c r="M1167" t="str">
        <f>"20-709"</f>
        <v>20-709</v>
      </c>
      <c r="N1167" t="str">
        <f>"516516620"</f>
        <v>516516620</v>
      </c>
      <c r="O1167" t="s">
        <v>3783</v>
      </c>
      <c r="P1167" t="s">
        <v>24</v>
      </c>
    </row>
    <row r="1168" spans="1:16" x14ac:dyDescent="0.25">
      <c r="A1168" s="2">
        <v>109668</v>
      </c>
      <c r="B1168" s="2" t="str">
        <f>"302350031"</f>
        <v>302350031</v>
      </c>
      <c r="C1168" s="2" t="s">
        <v>25</v>
      </c>
      <c r="D1168" s="2" t="s">
        <v>3784</v>
      </c>
      <c r="E1168" s="2" t="s">
        <v>157</v>
      </c>
      <c r="F1168" s="2" t="s">
        <v>482</v>
      </c>
      <c r="G1168" s="2" t="s">
        <v>483</v>
      </c>
      <c r="H1168" s="2" t="s">
        <v>483</v>
      </c>
      <c r="I1168" s="2" t="s">
        <v>30</v>
      </c>
      <c r="J1168" s="2" t="s">
        <v>2479</v>
      </c>
      <c r="K1168" s="2" t="str">
        <f>"19"</f>
        <v>19</v>
      </c>
      <c r="L1168" s="2" t="str">
        <f>""</f>
        <v/>
      </c>
      <c r="M1168" s="2" t="str">
        <f>"64-920"</f>
        <v>64-920</v>
      </c>
      <c r="N1168" s="2" t="str">
        <f>"673509097"</f>
        <v>673509097</v>
      </c>
      <c r="O1168" s="2" t="s">
        <v>3785</v>
      </c>
      <c r="P1168" s="2" t="s">
        <v>121</v>
      </c>
    </row>
    <row r="1169" spans="1:16" x14ac:dyDescent="0.25">
      <c r="A1169" s="2">
        <v>106652</v>
      </c>
      <c r="B1169" s="2" t="str">
        <f>"712368602"</f>
        <v>712368602</v>
      </c>
      <c r="C1169" s="2" t="s">
        <v>16</v>
      </c>
      <c r="D1169" s="2" t="s">
        <v>3786</v>
      </c>
      <c r="E1169" s="2" t="s">
        <v>18</v>
      </c>
      <c r="F1169" s="2" t="s">
        <v>3787</v>
      </c>
      <c r="G1169" s="2" t="s">
        <v>363</v>
      </c>
      <c r="H1169" s="2" t="s">
        <v>3788</v>
      </c>
      <c r="I1169" s="2" t="s">
        <v>68</v>
      </c>
      <c r="J1169" s="2" t="s">
        <v>810</v>
      </c>
      <c r="K1169" s="2" t="str">
        <f>"1"</f>
        <v>1</v>
      </c>
      <c r="L1169" s="2" t="str">
        <f>""</f>
        <v/>
      </c>
      <c r="M1169" s="2" t="str">
        <f>"08-110"</f>
        <v>08-110</v>
      </c>
      <c r="N1169" s="2" t="str">
        <f>"256330860"</f>
        <v>256330860</v>
      </c>
      <c r="O1169" s="2" t="s">
        <v>3789</v>
      </c>
      <c r="P1169" s="2" t="s">
        <v>121</v>
      </c>
    </row>
    <row r="1170" spans="1:16" x14ac:dyDescent="0.25">
      <c r="A1170" s="2">
        <v>16583</v>
      </c>
      <c r="B1170" s="2" t="str">
        <f>"276924204"</f>
        <v>276924204</v>
      </c>
      <c r="C1170" s="2" t="s">
        <v>16</v>
      </c>
      <c r="D1170" s="2" t="s">
        <v>3786</v>
      </c>
      <c r="E1170" s="2" t="s">
        <v>117</v>
      </c>
      <c r="F1170" s="2" t="s">
        <v>1210</v>
      </c>
      <c r="G1170" s="2" t="s">
        <v>1211</v>
      </c>
      <c r="H1170" s="2" t="s">
        <v>1211</v>
      </c>
      <c r="I1170" s="2" t="s">
        <v>30</v>
      </c>
      <c r="J1170" s="2" t="s">
        <v>1542</v>
      </c>
      <c r="K1170" s="2" t="str">
        <f>"16"</f>
        <v>16</v>
      </c>
      <c r="L1170" s="2" t="str">
        <f>""</f>
        <v/>
      </c>
      <c r="M1170" s="2" t="str">
        <f>"42-600"</f>
        <v>42-600</v>
      </c>
      <c r="N1170" s="2" t="str">
        <f>"322854367"</f>
        <v>322854367</v>
      </c>
      <c r="O1170" s="2" t="s">
        <v>3790</v>
      </c>
      <c r="P1170" s="2" t="s">
        <v>121</v>
      </c>
    </row>
    <row r="1171" spans="1:16" x14ac:dyDescent="0.25">
      <c r="A1171" s="2">
        <v>88521</v>
      </c>
      <c r="B1171" s="2" t="str">
        <f>"000715963"</f>
        <v>000715963</v>
      </c>
      <c r="C1171" s="2" t="s">
        <v>16</v>
      </c>
      <c r="D1171" s="2" t="s">
        <v>3786</v>
      </c>
      <c r="E1171" s="2" t="s">
        <v>117</v>
      </c>
      <c r="F1171" s="2" t="s">
        <v>3791</v>
      </c>
      <c r="G1171" s="2" t="s">
        <v>3792</v>
      </c>
      <c r="H1171" s="2" t="s">
        <v>3792</v>
      </c>
      <c r="I1171" s="2" t="s">
        <v>30</v>
      </c>
      <c r="J1171" s="2" t="s">
        <v>3793</v>
      </c>
      <c r="K1171" s="2" t="str">
        <f>"46A"</f>
        <v>46A</v>
      </c>
      <c r="L1171" s="2" t="str">
        <f>""</f>
        <v/>
      </c>
      <c r="M1171" s="2" t="str">
        <f>"42-100"</f>
        <v>42-100</v>
      </c>
      <c r="N1171" s="2" t="str">
        <f>"343172757"</f>
        <v>343172757</v>
      </c>
      <c r="O1171" s="2" t="s">
        <v>3794</v>
      </c>
      <c r="P1171" s="2" t="s">
        <v>121</v>
      </c>
    </row>
    <row r="1172" spans="1:16" x14ac:dyDescent="0.25">
      <c r="A1172" s="2">
        <v>22992</v>
      </c>
      <c r="B1172" s="2" t="str">
        <f>"151562382"</f>
        <v>151562382</v>
      </c>
      <c r="C1172" s="2" t="s">
        <v>16</v>
      </c>
      <c r="D1172" s="2" t="s">
        <v>3795</v>
      </c>
      <c r="E1172" s="2" t="s">
        <v>117</v>
      </c>
      <c r="F1172" s="2" t="s">
        <v>118</v>
      </c>
      <c r="G1172" s="2" t="s">
        <v>118</v>
      </c>
      <c r="H1172" s="2" t="s">
        <v>118</v>
      </c>
      <c r="I1172" s="2" t="s">
        <v>30</v>
      </c>
      <c r="J1172" s="2" t="s">
        <v>2097</v>
      </c>
      <c r="K1172" s="2" t="str">
        <f>"5"</f>
        <v>5</v>
      </c>
      <c r="L1172" s="2" t="str">
        <f>""</f>
        <v/>
      </c>
      <c r="M1172" s="2" t="str">
        <f>"42-200"</f>
        <v>42-200</v>
      </c>
      <c r="N1172" s="2" t="str">
        <f>"343229201"</f>
        <v>343229201</v>
      </c>
      <c r="O1172" s="2" t="s">
        <v>3796</v>
      </c>
      <c r="P1172" s="2" t="s">
        <v>121</v>
      </c>
    </row>
    <row r="1173" spans="1:16" x14ac:dyDescent="0.25">
      <c r="A1173" s="2">
        <v>4758</v>
      </c>
      <c r="B1173" s="2" t="str">
        <f>"000716253"</f>
        <v>000716253</v>
      </c>
      <c r="C1173" s="2" t="s">
        <v>16</v>
      </c>
      <c r="D1173" s="2" t="s">
        <v>3797</v>
      </c>
      <c r="E1173" s="2" t="s">
        <v>389</v>
      </c>
      <c r="F1173" s="2" t="s">
        <v>749</v>
      </c>
      <c r="G1173" s="2" t="s">
        <v>2473</v>
      </c>
      <c r="H1173" s="2" t="s">
        <v>2473</v>
      </c>
      <c r="I1173" s="2" t="s">
        <v>30</v>
      </c>
      <c r="J1173" s="2" t="s">
        <v>2085</v>
      </c>
      <c r="K1173" s="2" t="str">
        <f>"20"</f>
        <v>20</v>
      </c>
      <c r="L1173" s="2" t="str">
        <f>""</f>
        <v/>
      </c>
      <c r="M1173" s="2" t="str">
        <f>"11-100"</f>
        <v>11-100</v>
      </c>
      <c r="N1173" s="2" t="str">
        <f>"453030858"</f>
        <v>453030858</v>
      </c>
      <c r="O1173" s="2" t="s">
        <v>3798</v>
      </c>
      <c r="P1173" s="2" t="s">
        <v>121</v>
      </c>
    </row>
    <row r="1174" spans="1:16" x14ac:dyDescent="0.25">
      <c r="A1174" s="2">
        <v>7116</v>
      </c>
      <c r="B1174" s="2" t="str">
        <f>"092522400"</f>
        <v>092522400</v>
      </c>
      <c r="C1174" s="2" t="s">
        <v>16</v>
      </c>
      <c r="D1174" s="2" t="s">
        <v>3799</v>
      </c>
      <c r="E1174" s="2" t="s">
        <v>181</v>
      </c>
      <c r="F1174" s="2" t="s">
        <v>3729</v>
      </c>
      <c r="G1174" s="2" t="s">
        <v>3800</v>
      </c>
      <c r="H1174" s="2" t="s">
        <v>3800</v>
      </c>
      <c r="I1174" s="2" t="s">
        <v>30</v>
      </c>
      <c r="J1174" s="2" t="s">
        <v>2280</v>
      </c>
      <c r="K1174" s="2" t="str">
        <f>"46"</f>
        <v>46</v>
      </c>
      <c r="L1174" s="2" t="str">
        <f>""</f>
        <v/>
      </c>
      <c r="M1174" s="2" t="str">
        <f>"89-100"</f>
        <v>89-100</v>
      </c>
      <c r="N1174" s="2" t="str">
        <f>"523865150"</f>
        <v>523865150</v>
      </c>
      <c r="O1174" s="2" t="s">
        <v>3801</v>
      </c>
      <c r="P1174" s="2" t="s">
        <v>121</v>
      </c>
    </row>
    <row r="1175" spans="1:16" x14ac:dyDescent="0.25">
      <c r="A1175" s="2">
        <v>15378</v>
      </c>
      <c r="B1175" s="2" t="str">
        <f>"00071601700034"</f>
        <v>00071601700034</v>
      </c>
      <c r="C1175" s="2" t="s">
        <v>16</v>
      </c>
      <c r="D1175" s="2" t="s">
        <v>3802</v>
      </c>
      <c r="E1175" s="2" t="s">
        <v>39</v>
      </c>
      <c r="F1175" s="2" t="s">
        <v>3803</v>
      </c>
      <c r="G1175" s="2" t="s">
        <v>3804</v>
      </c>
      <c r="H1175" s="2" t="s">
        <v>3804</v>
      </c>
      <c r="I1175" s="2" t="s">
        <v>30</v>
      </c>
      <c r="J1175" s="2" t="s">
        <v>3805</v>
      </c>
      <c r="K1175" s="2" t="str">
        <f>"7"</f>
        <v>7</v>
      </c>
      <c r="L1175" s="2" t="str">
        <f>""</f>
        <v/>
      </c>
      <c r="M1175" s="2" t="str">
        <f>"98-355"</f>
        <v>98-355</v>
      </c>
      <c r="N1175" s="2" t="str">
        <f>"438413753"</f>
        <v>438413753</v>
      </c>
      <c r="O1175" s="2" t="s">
        <v>3806</v>
      </c>
      <c r="P1175" s="2" t="s">
        <v>121</v>
      </c>
    </row>
    <row r="1176" spans="1:16" x14ac:dyDescent="0.25">
      <c r="A1176" s="2">
        <v>70420</v>
      </c>
      <c r="B1176" s="2" t="str">
        <f>"141902740"</f>
        <v>141902740</v>
      </c>
      <c r="C1176" s="2" t="s">
        <v>16</v>
      </c>
      <c r="D1176" s="2" t="s">
        <v>3809</v>
      </c>
      <c r="E1176" s="2" t="s">
        <v>18</v>
      </c>
      <c r="F1176" s="2" t="s">
        <v>134</v>
      </c>
      <c r="G1176" s="2" t="s">
        <v>134</v>
      </c>
      <c r="H1176" s="2" t="s">
        <v>134</v>
      </c>
      <c r="I1176" s="2" t="s">
        <v>30</v>
      </c>
      <c r="J1176" s="2" t="s">
        <v>945</v>
      </c>
      <c r="K1176" s="2" t="str">
        <f>"21"</f>
        <v>21</v>
      </c>
      <c r="L1176" s="2" t="str">
        <f>""</f>
        <v/>
      </c>
      <c r="M1176" s="2" t="str">
        <f>"09-407"</f>
        <v>09-407</v>
      </c>
      <c r="N1176" s="2" t="str">
        <f>"243640200"</f>
        <v>243640200</v>
      </c>
      <c r="O1176" s="2" t="s">
        <v>3810</v>
      </c>
      <c r="P1176" s="2" t="s">
        <v>121</v>
      </c>
    </row>
    <row r="1177" spans="1:16" x14ac:dyDescent="0.25">
      <c r="A1177" s="2">
        <v>87389</v>
      </c>
      <c r="B1177" s="2" t="str">
        <f>"001325483"</f>
        <v>001325483</v>
      </c>
      <c r="C1177" s="2" t="s">
        <v>16</v>
      </c>
      <c r="D1177" s="2" t="s">
        <v>3811</v>
      </c>
      <c r="E1177" s="2" t="s">
        <v>27</v>
      </c>
      <c r="F1177" s="2" t="s">
        <v>554</v>
      </c>
      <c r="G1177" s="2" t="s">
        <v>555</v>
      </c>
      <c r="H1177" s="2" t="s">
        <v>555</v>
      </c>
      <c r="I1177" s="2" t="s">
        <v>30</v>
      </c>
      <c r="J1177" s="2" t="s">
        <v>3812</v>
      </c>
      <c r="K1177" s="2" t="str">
        <f>"26c"</f>
        <v>26c</v>
      </c>
      <c r="L1177" s="2" t="str">
        <f>""</f>
        <v/>
      </c>
      <c r="M1177" s="2" t="str">
        <f>"32-020"</f>
        <v>32-020</v>
      </c>
      <c r="N1177" s="2" t="str">
        <f>"122500773"</f>
        <v>122500773</v>
      </c>
      <c r="O1177" s="2" t="s">
        <v>3813</v>
      </c>
      <c r="P1177" s="2" t="s">
        <v>121</v>
      </c>
    </row>
    <row r="1178" spans="1:16" x14ac:dyDescent="0.25">
      <c r="A1178" s="2">
        <v>12074</v>
      </c>
      <c r="B1178" s="2" t="str">
        <f>"001238761"</f>
        <v>001238761</v>
      </c>
      <c r="C1178" s="2" t="s">
        <v>16</v>
      </c>
      <c r="D1178" s="2" t="s">
        <v>3814</v>
      </c>
      <c r="E1178" s="2" t="s">
        <v>157</v>
      </c>
      <c r="F1178" s="2" t="s">
        <v>542</v>
      </c>
      <c r="G1178" s="2" t="s">
        <v>543</v>
      </c>
      <c r="H1178" s="2" t="s">
        <v>543</v>
      </c>
      <c r="I1178" s="2" t="s">
        <v>30</v>
      </c>
      <c r="J1178" s="2" t="s">
        <v>671</v>
      </c>
      <c r="K1178" s="2" t="str">
        <f>"3"</f>
        <v>3</v>
      </c>
      <c r="L1178" s="2" t="str">
        <f>""</f>
        <v/>
      </c>
      <c r="M1178" s="2" t="str">
        <f>"77-400"</f>
        <v>77-400</v>
      </c>
      <c r="N1178" s="2" t="str">
        <f>"672632103"</f>
        <v>672632103</v>
      </c>
      <c r="O1178" s="2" t="s">
        <v>3815</v>
      </c>
      <c r="P1178" s="2" t="s">
        <v>121</v>
      </c>
    </row>
    <row r="1179" spans="1:16" x14ac:dyDescent="0.25">
      <c r="A1179" s="2">
        <v>11453</v>
      </c>
      <c r="B1179" s="2" t="str">
        <f>"001012590"</f>
        <v>001012590</v>
      </c>
      <c r="C1179" s="2" t="s">
        <v>16</v>
      </c>
      <c r="D1179" s="2" t="s">
        <v>3816</v>
      </c>
      <c r="E1179" s="2" t="s">
        <v>64</v>
      </c>
      <c r="F1179" s="2" t="s">
        <v>688</v>
      </c>
      <c r="G1179" s="2" t="s">
        <v>689</v>
      </c>
      <c r="H1179" s="2" t="s">
        <v>689</v>
      </c>
      <c r="I1179" s="2" t="s">
        <v>30</v>
      </c>
      <c r="J1179" s="2" t="s">
        <v>3817</v>
      </c>
      <c r="K1179" s="2" t="str">
        <f>"2"</f>
        <v>2</v>
      </c>
      <c r="L1179" s="2" t="str">
        <f>""</f>
        <v/>
      </c>
      <c r="M1179" s="2" t="str">
        <f>"59-225"</f>
        <v>59-225</v>
      </c>
      <c r="N1179" s="2" t="str">
        <f>"768188564"</f>
        <v>768188564</v>
      </c>
      <c r="O1179" s="2" t="s">
        <v>3818</v>
      </c>
      <c r="P1179" s="2" t="s">
        <v>121</v>
      </c>
    </row>
    <row r="1180" spans="1:16" x14ac:dyDescent="0.25">
      <c r="A1180" s="2">
        <v>54400</v>
      </c>
      <c r="B1180" s="2" t="str">
        <f>"000695781"</f>
        <v>000695781</v>
      </c>
      <c r="C1180" s="2" t="s">
        <v>16</v>
      </c>
      <c r="D1180" s="2" t="s">
        <v>3819</v>
      </c>
      <c r="E1180" s="2" t="s">
        <v>389</v>
      </c>
      <c r="F1180" s="2" t="s">
        <v>3820</v>
      </c>
      <c r="G1180" s="2" t="s">
        <v>3821</v>
      </c>
      <c r="H1180" s="2" t="s">
        <v>3821</v>
      </c>
      <c r="I1180" s="2" t="s">
        <v>30</v>
      </c>
      <c r="J1180" s="2" t="s">
        <v>560</v>
      </c>
      <c r="K1180" s="2" t="str">
        <f>"5"</f>
        <v>5</v>
      </c>
      <c r="L1180" s="2" t="str">
        <f>""</f>
        <v/>
      </c>
      <c r="M1180" s="2" t="str">
        <f>"12-200"</f>
        <v>12-200</v>
      </c>
      <c r="N1180" s="2" t="str">
        <f>"874232404"</f>
        <v>874232404</v>
      </c>
      <c r="O1180" s="2" t="s">
        <v>3822</v>
      </c>
      <c r="P1180" s="2" t="s">
        <v>121</v>
      </c>
    </row>
    <row r="1181" spans="1:16" x14ac:dyDescent="0.25">
      <c r="A1181" s="2">
        <v>92128</v>
      </c>
      <c r="B1181" s="2" t="str">
        <f>"022022480"</f>
        <v>022022480</v>
      </c>
      <c r="C1181" s="2" t="s">
        <v>16</v>
      </c>
      <c r="D1181" s="2" t="s">
        <v>3823</v>
      </c>
      <c r="E1181" s="2" t="s">
        <v>64</v>
      </c>
      <c r="F1181" s="2" t="s">
        <v>232</v>
      </c>
      <c r="G1181" s="2" t="s">
        <v>3824</v>
      </c>
      <c r="H1181" s="2" t="s">
        <v>3824</v>
      </c>
      <c r="I1181" s="2" t="s">
        <v>68</v>
      </c>
      <c r="J1181" s="2" t="s">
        <v>3825</v>
      </c>
      <c r="K1181" s="2" t="str">
        <f>"9"</f>
        <v>9</v>
      </c>
      <c r="L1181" s="2" t="str">
        <f>""</f>
        <v/>
      </c>
      <c r="M1181" s="2" t="str">
        <f>"58-320"</f>
        <v>58-320</v>
      </c>
      <c r="N1181" s="2" t="str">
        <f>"748423194"</f>
        <v>748423194</v>
      </c>
      <c r="O1181" s="2" t="s">
        <v>3826</v>
      </c>
      <c r="P1181" s="2" t="s">
        <v>121</v>
      </c>
    </row>
    <row r="1182" spans="1:16" x14ac:dyDescent="0.25">
      <c r="A1182" s="2">
        <v>9488</v>
      </c>
      <c r="B1182" s="2" t="str">
        <f>"000705947"</f>
        <v>000705947</v>
      </c>
      <c r="C1182" s="2" t="s">
        <v>16</v>
      </c>
      <c r="D1182" s="2" t="s">
        <v>3823</v>
      </c>
      <c r="E1182" s="2" t="s">
        <v>157</v>
      </c>
      <c r="F1182" s="2" t="s">
        <v>3827</v>
      </c>
      <c r="G1182" s="2" t="s">
        <v>3828</v>
      </c>
      <c r="H1182" s="2" t="s">
        <v>3828</v>
      </c>
      <c r="I1182" s="2" t="s">
        <v>30</v>
      </c>
      <c r="J1182" s="2" t="s">
        <v>3829</v>
      </c>
      <c r="K1182" s="2" t="str">
        <f>"5"</f>
        <v>5</v>
      </c>
      <c r="L1182" s="2" t="str">
        <f>""</f>
        <v/>
      </c>
      <c r="M1182" s="2" t="str">
        <f>"64-200"</f>
        <v>64-200</v>
      </c>
      <c r="N1182" s="2" t="str">
        <f>"683842082"</f>
        <v>683842082</v>
      </c>
      <c r="O1182" s="2" t="s">
        <v>3830</v>
      </c>
      <c r="P1182" s="2" t="s">
        <v>121</v>
      </c>
    </row>
    <row r="1183" spans="1:16" x14ac:dyDescent="0.25">
      <c r="A1183" s="2">
        <v>90873</v>
      </c>
      <c r="B1183" s="2" t="str">
        <f>"331084087"</f>
        <v>331084087</v>
      </c>
      <c r="C1183" s="2" t="s">
        <v>16</v>
      </c>
      <c r="D1183" s="2" t="s">
        <v>3823</v>
      </c>
      <c r="E1183" s="2" t="s">
        <v>34</v>
      </c>
      <c r="F1183" s="2" t="s">
        <v>1049</v>
      </c>
      <c r="G1183" s="2" t="s">
        <v>3831</v>
      </c>
      <c r="H1183" s="2" t="s">
        <v>3831</v>
      </c>
      <c r="I1183" s="2" t="s">
        <v>30</v>
      </c>
      <c r="J1183" s="2" t="s">
        <v>2979</v>
      </c>
      <c r="K1183" s="2" t="str">
        <f>"9"</f>
        <v>9</v>
      </c>
      <c r="L1183" s="2" t="str">
        <f>""</f>
        <v/>
      </c>
      <c r="M1183" s="2" t="str">
        <f>"76-100"</f>
        <v>76-100</v>
      </c>
      <c r="N1183" s="2" t="str">
        <f>"598107135"</f>
        <v>598107135</v>
      </c>
      <c r="O1183" s="2" t="s">
        <v>3832</v>
      </c>
      <c r="P1183" s="2" t="s">
        <v>121</v>
      </c>
    </row>
    <row r="1184" spans="1:16" x14ac:dyDescent="0.25">
      <c r="A1184" s="2">
        <v>34988</v>
      </c>
      <c r="B1184" s="2" t="str">
        <f>"932774349"</f>
        <v>932774349</v>
      </c>
      <c r="C1184" s="2" t="s">
        <v>16</v>
      </c>
      <c r="D1184" s="2" t="s">
        <v>3833</v>
      </c>
      <c r="E1184" s="2" t="s">
        <v>64</v>
      </c>
      <c r="F1184" s="2" t="s">
        <v>255</v>
      </c>
      <c r="G1184" s="2" t="s">
        <v>256</v>
      </c>
      <c r="H1184" s="2" t="s">
        <v>256</v>
      </c>
      <c r="I1184" s="2" t="s">
        <v>42</v>
      </c>
      <c r="J1184" s="2" t="s">
        <v>188</v>
      </c>
      <c r="K1184" s="2" t="str">
        <f>"131"</f>
        <v>131</v>
      </c>
      <c r="L1184" s="2" t="str">
        <f>""</f>
        <v/>
      </c>
      <c r="M1184" s="2" t="str">
        <f>"50-440"</f>
        <v>50-440</v>
      </c>
      <c r="N1184" s="2" t="str">
        <f>"717222002"</f>
        <v>717222002</v>
      </c>
      <c r="O1184" s="2" t="s">
        <v>3834</v>
      </c>
      <c r="P1184" s="2" t="s">
        <v>121</v>
      </c>
    </row>
    <row r="1185" spans="1:16" x14ac:dyDescent="0.25">
      <c r="A1185" s="2">
        <v>34990</v>
      </c>
      <c r="B1185" s="2" t="str">
        <f>"932644374"</f>
        <v>932644374</v>
      </c>
      <c r="C1185" s="2" t="s">
        <v>16</v>
      </c>
      <c r="D1185" s="2" t="s">
        <v>3835</v>
      </c>
      <c r="E1185" s="2" t="s">
        <v>64</v>
      </c>
      <c r="F1185" s="2" t="s">
        <v>255</v>
      </c>
      <c r="G1185" s="2" t="s">
        <v>256</v>
      </c>
      <c r="H1185" s="2" t="s">
        <v>256</v>
      </c>
      <c r="I1185" s="2" t="s">
        <v>42</v>
      </c>
      <c r="J1185" s="2" t="s">
        <v>188</v>
      </c>
      <c r="K1185" s="2" t="str">
        <f>"131"</f>
        <v>131</v>
      </c>
      <c r="L1185" s="2" t="str">
        <f>""</f>
        <v/>
      </c>
      <c r="M1185" s="2" t="str">
        <f>"50-440"</f>
        <v>50-440</v>
      </c>
      <c r="N1185" s="2" t="str">
        <f>"717222002"</f>
        <v>717222002</v>
      </c>
      <c r="O1185" s="2" t="s">
        <v>3834</v>
      </c>
      <c r="P1185" s="2" t="s">
        <v>121</v>
      </c>
    </row>
    <row r="1186" spans="1:16" x14ac:dyDescent="0.25">
      <c r="A1186" s="2">
        <v>49019</v>
      </c>
      <c r="B1186" s="2" t="str">
        <f>"000726518"</f>
        <v>000726518</v>
      </c>
      <c r="C1186" s="2" t="s">
        <v>16</v>
      </c>
      <c r="D1186" s="2" t="s">
        <v>3836</v>
      </c>
      <c r="E1186" s="2" t="s">
        <v>117</v>
      </c>
      <c r="F1186" s="2" t="s">
        <v>1425</v>
      </c>
      <c r="G1186" s="2" t="s">
        <v>1426</v>
      </c>
      <c r="H1186" s="2" t="s">
        <v>1426</v>
      </c>
      <c r="I1186" s="2" t="s">
        <v>30</v>
      </c>
      <c r="J1186" s="2" t="s">
        <v>57</v>
      </c>
      <c r="K1186" s="2" t="str">
        <f>"5"</f>
        <v>5</v>
      </c>
      <c r="L1186" s="2" t="str">
        <f>""</f>
        <v/>
      </c>
      <c r="M1186" s="2" t="str">
        <f>"42-500"</f>
        <v>42-500</v>
      </c>
      <c r="N1186" s="2" t="str">
        <f>"322674401"</f>
        <v>322674401</v>
      </c>
      <c r="O1186" s="2" t="s">
        <v>3837</v>
      </c>
      <c r="P1186" s="2" t="s">
        <v>121</v>
      </c>
    </row>
    <row r="1187" spans="1:16" x14ac:dyDescent="0.25">
      <c r="A1187" s="2">
        <v>115561</v>
      </c>
      <c r="B1187" s="2" t="str">
        <f>"061578786"</f>
        <v>061578786</v>
      </c>
      <c r="C1187" s="2" t="s">
        <v>16</v>
      </c>
      <c r="D1187" s="2" t="s">
        <v>3838</v>
      </c>
      <c r="E1187" s="2" t="s">
        <v>112</v>
      </c>
      <c r="F1187" s="2" t="s">
        <v>1968</v>
      </c>
      <c r="G1187" s="2" t="s">
        <v>1968</v>
      </c>
      <c r="H1187" s="2" t="s">
        <v>1968</v>
      </c>
      <c r="I1187" s="2" t="s">
        <v>30</v>
      </c>
      <c r="J1187" s="2" t="s">
        <v>560</v>
      </c>
      <c r="K1187" s="2" t="str">
        <f>"12 c"</f>
        <v>12 c</v>
      </c>
      <c r="L1187" s="2" t="str">
        <f>""</f>
        <v/>
      </c>
      <c r="M1187" s="2" t="str">
        <f>"21-500"</f>
        <v>21-500</v>
      </c>
      <c r="N1187" s="2" t="str">
        <f>"833433123"</f>
        <v>833433123</v>
      </c>
      <c r="O1187" s="2" t="s">
        <v>3839</v>
      </c>
      <c r="P1187" s="2" t="s">
        <v>121</v>
      </c>
    </row>
    <row r="1188" spans="1:16" x14ac:dyDescent="0.25">
      <c r="A1188" s="2">
        <v>118976</v>
      </c>
      <c r="B1188" s="2" t="str">
        <f>"06157878600039"</f>
        <v>06157878600039</v>
      </c>
      <c r="C1188" s="2" t="s">
        <v>16</v>
      </c>
      <c r="D1188" s="2" t="s">
        <v>3840</v>
      </c>
      <c r="E1188" s="2" t="s">
        <v>112</v>
      </c>
      <c r="F1188" s="2" t="s">
        <v>1918</v>
      </c>
      <c r="G1188" s="2" t="s">
        <v>3841</v>
      </c>
      <c r="H1188" s="2" t="s">
        <v>3841</v>
      </c>
      <c r="I1188" s="2" t="s">
        <v>30</v>
      </c>
      <c r="J1188" s="2" t="s">
        <v>3842</v>
      </c>
      <c r="K1188" s="2" t="str">
        <f>"11"</f>
        <v>11</v>
      </c>
      <c r="L1188" s="2" t="str">
        <f>""</f>
        <v/>
      </c>
      <c r="M1188" s="2" t="str">
        <f>"21-560"</f>
        <v>21-560</v>
      </c>
      <c r="N1188" s="2" t="str">
        <f>"833716989"</f>
        <v>833716989</v>
      </c>
      <c r="O1188" s="2" t="s">
        <v>3843</v>
      </c>
      <c r="P1188" s="2" t="s">
        <v>121</v>
      </c>
    </row>
    <row r="1189" spans="1:16" x14ac:dyDescent="0.25">
      <c r="A1189" s="2">
        <v>118977</v>
      </c>
      <c r="B1189" s="2" t="str">
        <f>"06157878600046"</f>
        <v>06157878600046</v>
      </c>
      <c r="C1189" s="2" t="s">
        <v>16</v>
      </c>
      <c r="D1189" s="2" t="s">
        <v>3844</v>
      </c>
      <c r="E1189" s="2" t="s">
        <v>112</v>
      </c>
      <c r="F1189" s="2" t="s">
        <v>1918</v>
      </c>
      <c r="G1189" s="2" t="s">
        <v>3845</v>
      </c>
      <c r="H1189" s="2" t="s">
        <v>3845</v>
      </c>
      <c r="I1189" s="2" t="s">
        <v>30</v>
      </c>
      <c r="J1189" s="2" t="s">
        <v>628</v>
      </c>
      <c r="K1189" s="2" t="str">
        <f>"88"</f>
        <v>88</v>
      </c>
      <c r="L1189" s="2" t="str">
        <f>""</f>
        <v/>
      </c>
      <c r="M1189" s="2" t="str">
        <f>"21-550"</f>
        <v>21-550</v>
      </c>
      <c r="N1189" s="2" t="str">
        <f>"833752344"</f>
        <v>833752344</v>
      </c>
      <c r="O1189" s="2" t="s">
        <v>3846</v>
      </c>
      <c r="P1189" s="2" t="s">
        <v>121</v>
      </c>
    </row>
    <row r="1190" spans="1:16" x14ac:dyDescent="0.25">
      <c r="A1190" s="2">
        <v>118877</v>
      </c>
      <c r="B1190" s="2" t="str">
        <f>"06157878600021"</f>
        <v>06157878600021</v>
      </c>
      <c r="C1190" s="2" t="s">
        <v>16</v>
      </c>
      <c r="D1190" s="2" t="s">
        <v>3847</v>
      </c>
      <c r="E1190" s="2" t="s">
        <v>112</v>
      </c>
      <c r="F1190" s="2" t="s">
        <v>1918</v>
      </c>
      <c r="G1190" s="2" t="s">
        <v>1919</v>
      </c>
      <c r="H1190" s="2" t="s">
        <v>1919</v>
      </c>
      <c r="I1190" s="2" t="s">
        <v>68</v>
      </c>
      <c r="J1190" s="2" t="s">
        <v>560</v>
      </c>
      <c r="K1190" s="2" t="str">
        <f>"44"</f>
        <v>44</v>
      </c>
      <c r="L1190" s="2" t="str">
        <f>""</f>
        <v/>
      </c>
      <c r="M1190" s="2" t="str">
        <f>"21-580"</f>
        <v>21-580</v>
      </c>
      <c r="N1190" s="2" t="str">
        <f>"833782237"</f>
        <v>833782237</v>
      </c>
      <c r="O1190" s="2" t="s">
        <v>3848</v>
      </c>
      <c r="P1190" s="2" t="s">
        <v>121</v>
      </c>
    </row>
    <row r="1191" spans="1:16" x14ac:dyDescent="0.25">
      <c r="A1191" s="2">
        <v>48797</v>
      </c>
      <c r="B1191" s="2" t="str">
        <f>"052213037"</f>
        <v>052213037</v>
      </c>
      <c r="C1191" s="2" t="s">
        <v>16</v>
      </c>
      <c r="D1191" s="2" t="s">
        <v>3849</v>
      </c>
      <c r="E1191" s="2" t="s">
        <v>97</v>
      </c>
      <c r="F1191" s="2" t="s">
        <v>98</v>
      </c>
      <c r="G1191" s="2" t="s">
        <v>98</v>
      </c>
      <c r="H1191" s="2" t="s">
        <v>98</v>
      </c>
      <c r="I1191" s="2" t="s">
        <v>30</v>
      </c>
      <c r="J1191" s="2" t="s">
        <v>3850</v>
      </c>
      <c r="K1191" s="2" t="str">
        <f>"15/1"</f>
        <v>15/1</v>
      </c>
      <c r="L1191" s="2" t="str">
        <f>""</f>
        <v/>
      </c>
      <c r="M1191" s="2" t="str">
        <f>"15-028"</f>
        <v>15-028</v>
      </c>
      <c r="N1191" s="2" t="str">
        <f>"857416235"</f>
        <v>857416235</v>
      </c>
      <c r="O1191" s="2" t="s">
        <v>3851</v>
      </c>
      <c r="P1191" s="2" t="s">
        <v>121</v>
      </c>
    </row>
    <row r="1192" spans="1:16" x14ac:dyDescent="0.25">
      <c r="A1192" s="2">
        <v>5797</v>
      </c>
      <c r="B1192" s="2" t="str">
        <f>"292874238"</f>
        <v>292874238</v>
      </c>
      <c r="C1192" s="2" t="s">
        <v>16</v>
      </c>
      <c r="D1192" s="2" t="s">
        <v>3852</v>
      </c>
      <c r="E1192" s="2" t="s">
        <v>74</v>
      </c>
      <c r="F1192" s="2" t="s">
        <v>775</v>
      </c>
      <c r="G1192" s="2" t="s">
        <v>3853</v>
      </c>
      <c r="H1192" s="2" t="s">
        <v>3853</v>
      </c>
      <c r="I1192" s="2" t="s">
        <v>30</v>
      </c>
      <c r="J1192" s="2" t="s">
        <v>514</v>
      </c>
      <c r="K1192" s="2" t="str">
        <f>"1A"</f>
        <v>1A</v>
      </c>
      <c r="L1192" s="2" t="str">
        <f>""</f>
        <v/>
      </c>
      <c r="M1192" s="2" t="str">
        <f>"26-010"</f>
        <v>26-010</v>
      </c>
      <c r="N1192" s="2" t="str">
        <f>"413115020"</f>
        <v>413115020</v>
      </c>
      <c r="O1192" s="2" t="s">
        <v>3854</v>
      </c>
      <c r="P1192" s="2" t="s">
        <v>121</v>
      </c>
    </row>
    <row r="1193" spans="1:16" x14ac:dyDescent="0.25">
      <c r="A1193" s="2">
        <v>5832</v>
      </c>
      <c r="B1193" s="2" t="str">
        <f>"292442510"</f>
        <v>292442510</v>
      </c>
      <c r="C1193" s="2" t="s">
        <v>16</v>
      </c>
      <c r="D1193" s="2" t="s">
        <v>3855</v>
      </c>
      <c r="E1193" s="2" t="s">
        <v>74</v>
      </c>
      <c r="F1193" s="2" t="s">
        <v>775</v>
      </c>
      <c r="G1193" s="2" t="s">
        <v>3856</v>
      </c>
      <c r="H1193" s="2" t="s">
        <v>3856</v>
      </c>
      <c r="I1193" s="2" t="s">
        <v>30</v>
      </c>
      <c r="J1193" s="2" t="s">
        <v>3857</v>
      </c>
      <c r="K1193" s="2" t="str">
        <f>"1A"</f>
        <v>1A</v>
      </c>
      <c r="L1193" s="2" t="str">
        <f>""</f>
        <v/>
      </c>
      <c r="M1193" s="2" t="str">
        <f>"26-020"</f>
        <v>26-020</v>
      </c>
      <c r="N1193" s="2" t="str">
        <f>"413544217"</f>
        <v>413544217</v>
      </c>
      <c r="O1193" s="2" t="s">
        <v>3858</v>
      </c>
      <c r="P1193" s="2" t="s">
        <v>121</v>
      </c>
    </row>
    <row r="1194" spans="1:16" x14ac:dyDescent="0.25">
      <c r="A1194" s="2">
        <v>15448</v>
      </c>
      <c r="B1194" s="2" t="str">
        <f>"000817669"</f>
        <v>000817669</v>
      </c>
      <c r="C1194" s="2" t="s">
        <v>16</v>
      </c>
      <c r="D1194" s="2" t="s">
        <v>3859</v>
      </c>
      <c r="E1194" s="2" t="s">
        <v>117</v>
      </c>
      <c r="F1194" s="2" t="s">
        <v>164</v>
      </c>
      <c r="G1194" s="2" t="s">
        <v>165</v>
      </c>
      <c r="H1194" s="2" t="s">
        <v>165</v>
      </c>
      <c r="I1194" s="2" t="s">
        <v>30</v>
      </c>
      <c r="J1194" s="2" t="s">
        <v>166</v>
      </c>
      <c r="K1194" s="2" t="str">
        <f>"48"</f>
        <v>48</v>
      </c>
      <c r="L1194" s="2" t="str">
        <f>""</f>
        <v/>
      </c>
      <c r="M1194" s="2" t="str">
        <f>"43-502"</f>
        <v>43-502</v>
      </c>
      <c r="N1194" s="2" t="str">
        <f>"322152220"</f>
        <v>322152220</v>
      </c>
      <c r="O1194" s="2" t="s">
        <v>3860</v>
      </c>
      <c r="P1194" s="2" t="s">
        <v>121</v>
      </c>
    </row>
    <row r="1195" spans="1:16" x14ac:dyDescent="0.25">
      <c r="A1195" s="2">
        <v>112021</v>
      </c>
      <c r="B1195" s="2" t="str">
        <f>"00081766900022"</f>
        <v>00081766900022</v>
      </c>
      <c r="C1195" s="2" t="s">
        <v>16</v>
      </c>
      <c r="D1195" s="2" t="s">
        <v>3861</v>
      </c>
      <c r="E1195" s="2" t="s">
        <v>117</v>
      </c>
      <c r="F1195" s="2" t="s">
        <v>168</v>
      </c>
      <c r="G1195" s="2" t="s">
        <v>168</v>
      </c>
      <c r="H1195" s="2" t="s">
        <v>168</v>
      </c>
      <c r="I1195" s="2" t="s">
        <v>30</v>
      </c>
      <c r="J1195" s="2" t="s">
        <v>1283</v>
      </c>
      <c r="K1195" s="2" t="str">
        <f>"44"</f>
        <v>44</v>
      </c>
      <c r="L1195" s="2" t="str">
        <f>""</f>
        <v/>
      </c>
      <c r="M1195" s="2" t="str">
        <f>"43-300"</f>
        <v>43-300</v>
      </c>
      <c r="N1195" s="2" t="str">
        <f>"338118247"</f>
        <v>338118247</v>
      </c>
      <c r="O1195" s="2"/>
      <c r="P1195" s="2" t="s">
        <v>121</v>
      </c>
    </row>
    <row r="1196" spans="1:16" x14ac:dyDescent="0.25">
      <c r="A1196" s="2">
        <v>28547</v>
      </c>
      <c r="B1196" s="2" t="str">
        <f>"000716508"</f>
        <v>000716508</v>
      </c>
      <c r="C1196" s="2" t="s">
        <v>16</v>
      </c>
      <c r="D1196" s="2" t="s">
        <v>3862</v>
      </c>
      <c r="E1196" s="2" t="s">
        <v>389</v>
      </c>
      <c r="F1196" s="2" t="s">
        <v>863</v>
      </c>
      <c r="G1196" s="2" t="s">
        <v>864</v>
      </c>
      <c r="H1196" s="2" t="s">
        <v>864</v>
      </c>
      <c r="I1196" s="2" t="s">
        <v>30</v>
      </c>
      <c r="J1196" s="2" t="s">
        <v>1051</v>
      </c>
      <c r="K1196" s="2" t="str">
        <f>"11"</f>
        <v>11</v>
      </c>
      <c r="L1196" s="2" t="str">
        <f>""</f>
        <v/>
      </c>
      <c r="M1196" s="2" t="str">
        <f>"11-400"</f>
        <v>11-400</v>
      </c>
      <c r="N1196" s="2" t="str">
        <f>"897513536"</f>
        <v>897513536</v>
      </c>
      <c r="O1196" s="2" t="s">
        <v>3863</v>
      </c>
      <c r="P1196" s="2" t="s">
        <v>121</v>
      </c>
    </row>
    <row r="1197" spans="1:16" x14ac:dyDescent="0.25">
      <c r="A1197" s="2">
        <v>90208</v>
      </c>
      <c r="B1197" s="2" t="str">
        <f>"890040390"</f>
        <v>890040390</v>
      </c>
      <c r="C1197" s="2" t="s">
        <v>16</v>
      </c>
      <c r="D1197" s="2" t="s">
        <v>3864</v>
      </c>
      <c r="E1197" s="2" t="s">
        <v>64</v>
      </c>
      <c r="F1197" s="2" t="s">
        <v>358</v>
      </c>
      <c r="G1197" s="2" t="s">
        <v>359</v>
      </c>
      <c r="H1197" s="2" t="s">
        <v>359</v>
      </c>
      <c r="I1197" s="2" t="s">
        <v>30</v>
      </c>
      <c r="J1197" s="2" t="s">
        <v>671</v>
      </c>
      <c r="K1197" s="2" t="str">
        <f>"8"</f>
        <v>8</v>
      </c>
      <c r="L1197" s="2" t="str">
        <f>""</f>
        <v/>
      </c>
      <c r="M1197" s="2" t="str">
        <f>"57-300"</f>
        <v>57-300</v>
      </c>
      <c r="N1197" s="2" t="str">
        <f>"0748673769"</f>
        <v>0748673769</v>
      </c>
      <c r="O1197" s="2" t="s">
        <v>3865</v>
      </c>
      <c r="P1197" s="2" t="s">
        <v>121</v>
      </c>
    </row>
    <row r="1198" spans="1:16" x14ac:dyDescent="0.25">
      <c r="A1198" s="2">
        <v>275928</v>
      </c>
      <c r="B1198" s="2" t="str">
        <f>"89004039000033"</f>
        <v>89004039000033</v>
      </c>
      <c r="C1198" s="2" t="s">
        <v>16</v>
      </c>
      <c r="D1198" s="2" t="s">
        <v>3866</v>
      </c>
      <c r="E1198" s="2" t="s">
        <v>64</v>
      </c>
      <c r="F1198" s="2" t="s">
        <v>358</v>
      </c>
      <c r="G1198" s="2" t="s">
        <v>1841</v>
      </c>
      <c r="H1198" s="2" t="s">
        <v>1841</v>
      </c>
      <c r="I1198" s="2" t="s">
        <v>30</v>
      </c>
      <c r="J1198" s="2" t="s">
        <v>1572</v>
      </c>
      <c r="K1198" s="2" t="str">
        <f>"4"</f>
        <v>4</v>
      </c>
      <c r="L1198" s="2" t="str">
        <f>""</f>
        <v/>
      </c>
      <c r="M1198" s="2" t="str">
        <f>"57-500"</f>
        <v>57-500</v>
      </c>
      <c r="N1198" s="2" t="str">
        <f>"0746442882"</f>
        <v>0746442882</v>
      </c>
      <c r="O1198" s="2" t="s">
        <v>3867</v>
      </c>
      <c r="P1198" s="2" t="s">
        <v>121</v>
      </c>
    </row>
    <row r="1199" spans="1:16" x14ac:dyDescent="0.25">
      <c r="A1199" s="2">
        <v>275930</v>
      </c>
      <c r="B1199" s="2" t="str">
        <f>"89004039000040"</f>
        <v>89004039000040</v>
      </c>
      <c r="C1199" s="2" t="s">
        <v>16</v>
      </c>
      <c r="D1199" s="2" t="s">
        <v>3868</v>
      </c>
      <c r="E1199" s="2" t="s">
        <v>64</v>
      </c>
      <c r="F1199" s="2" t="s">
        <v>358</v>
      </c>
      <c r="G1199" s="2" t="s">
        <v>3869</v>
      </c>
      <c r="H1199" s="2" t="s">
        <v>3869</v>
      </c>
      <c r="I1199" s="2" t="s">
        <v>30</v>
      </c>
      <c r="J1199" s="2" t="s">
        <v>3870</v>
      </c>
      <c r="K1199" s="2" t="str">
        <f>"6"</f>
        <v>6</v>
      </c>
      <c r="L1199" s="2" t="str">
        <f>""</f>
        <v/>
      </c>
      <c r="M1199" s="2" t="str">
        <f>"57-540"</f>
        <v>57-540</v>
      </c>
      <c r="N1199" s="2" t="str">
        <f>"0748669812"</f>
        <v>0748669812</v>
      </c>
      <c r="O1199" s="2" t="s">
        <v>3871</v>
      </c>
      <c r="P1199" s="2" t="s">
        <v>121</v>
      </c>
    </row>
    <row r="1200" spans="1:16" x14ac:dyDescent="0.25">
      <c r="A1200" s="2">
        <v>275905</v>
      </c>
      <c r="B1200" s="2" t="str">
        <f>"89004039000026"</f>
        <v>89004039000026</v>
      </c>
      <c r="C1200" s="2" t="s">
        <v>16</v>
      </c>
      <c r="D1200" s="2" t="s">
        <v>3872</v>
      </c>
      <c r="E1200" s="2" t="s">
        <v>64</v>
      </c>
      <c r="F1200" s="2" t="s">
        <v>358</v>
      </c>
      <c r="G1200" s="2" t="s">
        <v>1257</v>
      </c>
      <c r="H1200" s="2" t="s">
        <v>1257</v>
      </c>
      <c r="I1200" s="2" t="s">
        <v>30</v>
      </c>
      <c r="J1200" s="2" t="s">
        <v>2050</v>
      </c>
      <c r="K1200" s="2" t="str">
        <f>"6-8"</f>
        <v>6-8</v>
      </c>
      <c r="L1200" s="2" t="str">
        <f>""</f>
        <v/>
      </c>
      <c r="M1200" s="2" t="str">
        <f>"57-400"</f>
        <v>57-400</v>
      </c>
      <c r="N1200" s="2" t="str">
        <f>"0748722681"</f>
        <v>0748722681</v>
      </c>
      <c r="O1200" s="2" t="s">
        <v>3873</v>
      </c>
      <c r="P1200" s="2" t="s">
        <v>121</v>
      </c>
    </row>
    <row r="1201" spans="1:16" x14ac:dyDescent="0.25">
      <c r="A1201" s="2">
        <v>72048</v>
      </c>
      <c r="B1201" s="2" t="str">
        <f>"000896150"</f>
        <v>000896150</v>
      </c>
      <c r="C1201" s="2" t="s">
        <v>16</v>
      </c>
      <c r="D1201" s="2" t="s">
        <v>3874</v>
      </c>
      <c r="E1201" s="2" t="s">
        <v>181</v>
      </c>
      <c r="F1201" s="2" t="s">
        <v>1275</v>
      </c>
      <c r="G1201" s="2" t="s">
        <v>3875</v>
      </c>
      <c r="H1201" s="2" t="s">
        <v>3875</v>
      </c>
      <c r="I1201" s="2" t="s">
        <v>30</v>
      </c>
      <c r="J1201" s="2" t="s">
        <v>3876</v>
      </c>
      <c r="K1201" s="2" t="str">
        <f>"3"</f>
        <v>3</v>
      </c>
      <c r="L1201" s="2" t="str">
        <f>""</f>
        <v/>
      </c>
      <c r="M1201" s="2" t="str">
        <f>"86-010"</f>
        <v>86-010</v>
      </c>
      <c r="N1201" s="2" t="str">
        <f>"523822274"</f>
        <v>523822274</v>
      </c>
      <c r="O1201" s="2" t="s">
        <v>3877</v>
      </c>
      <c r="P1201" s="2" t="s">
        <v>121</v>
      </c>
    </row>
    <row r="1202" spans="1:16" x14ac:dyDescent="0.25">
      <c r="A1202" s="2">
        <v>81697</v>
      </c>
      <c r="B1202" s="2" t="str">
        <f>"00089615000020"</f>
        <v>00089615000020</v>
      </c>
      <c r="C1202" s="2" t="s">
        <v>16</v>
      </c>
      <c r="D1202" s="2" t="s">
        <v>3878</v>
      </c>
      <c r="E1202" s="2" t="s">
        <v>181</v>
      </c>
      <c r="F1202" s="2" t="s">
        <v>437</v>
      </c>
      <c r="G1202" s="2" t="s">
        <v>437</v>
      </c>
      <c r="H1202" s="2" t="s">
        <v>437</v>
      </c>
      <c r="I1202" s="2" t="s">
        <v>30</v>
      </c>
      <c r="J1202" s="2" t="s">
        <v>3879</v>
      </c>
      <c r="K1202" s="2" t="str">
        <f>"54"</f>
        <v>54</v>
      </c>
      <c r="L1202" s="2" t="str">
        <f>""</f>
        <v/>
      </c>
      <c r="M1202" s="2" t="str">
        <f>"85-164"</f>
        <v>85-164</v>
      </c>
      <c r="N1202" s="2" t="str">
        <f>"525841471"</f>
        <v>525841471</v>
      </c>
      <c r="O1202" s="2" t="s">
        <v>3880</v>
      </c>
      <c r="P1202" s="2" t="s">
        <v>121</v>
      </c>
    </row>
    <row r="1203" spans="1:16" x14ac:dyDescent="0.25">
      <c r="A1203" s="2">
        <v>29027</v>
      </c>
      <c r="B1203" s="2" t="str">
        <f>"331025386"</f>
        <v>331025386</v>
      </c>
      <c r="C1203" s="2" t="s">
        <v>16</v>
      </c>
      <c r="D1203" s="2" t="s">
        <v>3881</v>
      </c>
      <c r="E1203" s="2" t="s">
        <v>34</v>
      </c>
      <c r="F1203" s="2" t="s">
        <v>421</v>
      </c>
      <c r="G1203" s="2" t="s">
        <v>421</v>
      </c>
      <c r="H1203" s="2" t="s">
        <v>421</v>
      </c>
      <c r="I1203" s="2" t="s">
        <v>30</v>
      </c>
      <c r="J1203" s="2" t="s">
        <v>3882</v>
      </c>
      <c r="K1203" s="2" t="str">
        <f>"32"</f>
        <v>32</v>
      </c>
      <c r="L1203" s="2" t="str">
        <f>""</f>
        <v/>
      </c>
      <c r="M1203" s="2" t="str">
        <f>"75-626"</f>
        <v>75-626</v>
      </c>
      <c r="N1203" s="2" t="str">
        <f>"947140202"</f>
        <v>947140202</v>
      </c>
      <c r="O1203" s="2" t="s">
        <v>3883</v>
      </c>
      <c r="P1203" s="2" t="s">
        <v>121</v>
      </c>
    </row>
    <row r="1204" spans="1:16" x14ac:dyDescent="0.25">
      <c r="A1204" s="2">
        <v>59556</v>
      </c>
      <c r="B1204" s="2" t="str">
        <f>"000941694"</f>
        <v>000941694</v>
      </c>
      <c r="C1204" s="2" t="s">
        <v>16</v>
      </c>
      <c r="D1204" s="2" t="s">
        <v>3884</v>
      </c>
      <c r="E1204" s="2" t="s">
        <v>39</v>
      </c>
      <c r="F1204" s="2" t="s">
        <v>3885</v>
      </c>
      <c r="G1204" s="2" t="s">
        <v>3886</v>
      </c>
      <c r="H1204" s="2" t="s">
        <v>3886</v>
      </c>
      <c r="I1204" s="2" t="s">
        <v>30</v>
      </c>
      <c r="J1204" s="2" t="s">
        <v>581</v>
      </c>
      <c r="K1204" s="2" t="str">
        <f>"13"</f>
        <v>13</v>
      </c>
      <c r="L1204" s="2" t="str">
        <f>""</f>
        <v/>
      </c>
      <c r="M1204" s="2" t="str">
        <f>"99-100"</f>
        <v>99-100</v>
      </c>
      <c r="N1204" s="2" t="str">
        <f>"247212837"</f>
        <v>247212837</v>
      </c>
      <c r="O1204" s="2" t="s">
        <v>3887</v>
      </c>
      <c r="P1204" s="2" t="s">
        <v>121</v>
      </c>
    </row>
    <row r="1205" spans="1:16" x14ac:dyDescent="0.25">
      <c r="A1205" s="2">
        <v>120399</v>
      </c>
      <c r="B1205" s="2" t="str">
        <f>"09252240000027"</f>
        <v>09252240000027</v>
      </c>
      <c r="C1205" s="2" t="s">
        <v>16</v>
      </c>
      <c r="D1205" s="2" t="s">
        <v>3888</v>
      </c>
      <c r="E1205" s="2" t="s">
        <v>181</v>
      </c>
      <c r="F1205" s="2" t="s">
        <v>3729</v>
      </c>
      <c r="G1205" s="2" t="s">
        <v>3730</v>
      </c>
      <c r="H1205" s="2" t="s">
        <v>3730</v>
      </c>
      <c r="I1205" s="2" t="s">
        <v>30</v>
      </c>
      <c r="J1205" s="2" t="s">
        <v>3889</v>
      </c>
      <c r="K1205" s="2" t="str">
        <f>"34a"</f>
        <v>34a</v>
      </c>
      <c r="L1205" s="2" t="str">
        <f>""</f>
        <v/>
      </c>
      <c r="M1205" s="2" t="str">
        <f>"89-200"</f>
        <v>89-200</v>
      </c>
      <c r="N1205" s="2" t="str">
        <f>"523848971"</f>
        <v>523848971</v>
      </c>
      <c r="O1205" s="2" t="s">
        <v>3890</v>
      </c>
      <c r="P1205" s="2" t="s">
        <v>121</v>
      </c>
    </row>
    <row r="1206" spans="1:16" x14ac:dyDescent="0.25">
      <c r="A1206" s="2">
        <v>15994</v>
      </c>
      <c r="B1206" s="2" t="str">
        <f>"122580796"</f>
        <v>122580796</v>
      </c>
      <c r="C1206" s="2" t="s">
        <v>16</v>
      </c>
      <c r="D1206" s="2" t="s">
        <v>3891</v>
      </c>
      <c r="E1206" s="2" t="s">
        <v>27</v>
      </c>
      <c r="F1206" s="2" t="s">
        <v>196</v>
      </c>
      <c r="G1206" s="2" t="s">
        <v>196</v>
      </c>
      <c r="H1206" s="2" t="s">
        <v>196</v>
      </c>
      <c r="I1206" s="2" t="s">
        <v>30</v>
      </c>
      <c r="J1206" s="2" t="s">
        <v>1801</v>
      </c>
      <c r="K1206" s="2" t="str">
        <f>"1"</f>
        <v>1</v>
      </c>
      <c r="L1206" s="2" t="str">
        <f>""</f>
        <v/>
      </c>
      <c r="M1206" s="2" t="str">
        <f>"33-300"</f>
        <v>33-300</v>
      </c>
      <c r="N1206" s="2" t="str">
        <f>"184731408"</f>
        <v>184731408</v>
      </c>
      <c r="O1206" s="2" t="s">
        <v>3892</v>
      </c>
      <c r="P1206" s="2" t="s">
        <v>121</v>
      </c>
    </row>
    <row r="1207" spans="1:16" x14ac:dyDescent="0.25">
      <c r="A1207" s="2">
        <v>106705</v>
      </c>
      <c r="B1207" s="2" t="str">
        <f>"12258079600048"</f>
        <v>12258079600048</v>
      </c>
      <c r="C1207" s="2" t="s">
        <v>16</v>
      </c>
      <c r="D1207" s="2" t="s">
        <v>3893</v>
      </c>
      <c r="E1207" s="2" t="s">
        <v>27</v>
      </c>
      <c r="F1207" s="2" t="s">
        <v>190</v>
      </c>
      <c r="G1207" s="2" t="s">
        <v>3894</v>
      </c>
      <c r="H1207" s="2" t="s">
        <v>3894</v>
      </c>
      <c r="I1207" s="2" t="s">
        <v>30</v>
      </c>
      <c r="J1207" s="2" t="s">
        <v>444</v>
      </c>
      <c r="K1207" s="2" t="str">
        <f>"19"</f>
        <v>19</v>
      </c>
      <c r="L1207" s="2" t="str">
        <f>""</f>
        <v/>
      </c>
      <c r="M1207" s="2" t="str">
        <f>"33-330"</f>
        <v>33-330</v>
      </c>
      <c r="N1207" s="2" t="str">
        <f>"184450325"</f>
        <v>184450325</v>
      </c>
      <c r="O1207" s="2" t="s">
        <v>3895</v>
      </c>
      <c r="P1207" s="2" t="s">
        <v>121</v>
      </c>
    </row>
    <row r="1208" spans="1:16" x14ac:dyDescent="0.25">
      <c r="A1208" s="2">
        <v>106697</v>
      </c>
      <c r="B1208" s="2" t="str">
        <f>"12258079600030"</f>
        <v>12258079600030</v>
      </c>
      <c r="C1208" s="2" t="s">
        <v>16</v>
      </c>
      <c r="D1208" s="2" t="s">
        <v>3896</v>
      </c>
      <c r="E1208" s="2" t="s">
        <v>27</v>
      </c>
      <c r="F1208" s="2" t="s">
        <v>190</v>
      </c>
      <c r="G1208" s="2" t="s">
        <v>3897</v>
      </c>
      <c r="H1208" s="2" t="s">
        <v>3897</v>
      </c>
      <c r="I1208" s="2" t="s">
        <v>30</v>
      </c>
      <c r="J1208" s="2" t="s">
        <v>3434</v>
      </c>
      <c r="K1208" s="2" t="str">
        <f>"3"</f>
        <v>3</v>
      </c>
      <c r="L1208" s="2" t="str">
        <f>""</f>
        <v/>
      </c>
      <c r="M1208" s="2" t="str">
        <f>"33-380"</f>
        <v>33-380</v>
      </c>
      <c r="N1208" s="2" t="str">
        <f>"184715534"</f>
        <v>184715534</v>
      </c>
      <c r="O1208" s="2" t="s">
        <v>3898</v>
      </c>
      <c r="P1208" s="2" t="s">
        <v>121</v>
      </c>
    </row>
    <row r="1209" spans="1:16" x14ac:dyDescent="0.25">
      <c r="A1209" s="2">
        <v>106696</v>
      </c>
      <c r="B1209" s="2" t="str">
        <f>"12258079600023"</f>
        <v>12258079600023</v>
      </c>
      <c r="C1209" s="2" t="s">
        <v>16</v>
      </c>
      <c r="D1209" s="2" t="s">
        <v>3899</v>
      </c>
      <c r="E1209" s="2" t="s">
        <v>27</v>
      </c>
      <c r="F1209" s="2" t="s">
        <v>190</v>
      </c>
      <c r="G1209" s="2" t="s">
        <v>3900</v>
      </c>
      <c r="H1209" s="2" t="s">
        <v>3900</v>
      </c>
      <c r="I1209" s="2" t="s">
        <v>30</v>
      </c>
      <c r="J1209" s="2" t="s">
        <v>1193</v>
      </c>
      <c r="K1209" s="2" t="str">
        <f>"15"</f>
        <v>15</v>
      </c>
      <c r="L1209" s="2" t="str">
        <f>""</f>
        <v/>
      </c>
      <c r="M1209" s="2" t="str">
        <f>"33-340"</f>
        <v>33-340</v>
      </c>
      <c r="N1209" s="2" t="str">
        <f>"184461360"</f>
        <v>184461360</v>
      </c>
      <c r="O1209" s="2" t="s">
        <v>3901</v>
      </c>
      <c r="P1209" s="2" t="s">
        <v>121</v>
      </c>
    </row>
    <row r="1210" spans="1:16" x14ac:dyDescent="0.25">
      <c r="A1210" s="2">
        <v>27791</v>
      </c>
      <c r="B1210" s="2" t="str">
        <f>"000798713"</f>
        <v>000798713</v>
      </c>
      <c r="C1210" s="2" t="s">
        <v>16</v>
      </c>
      <c r="D1210" s="2" t="s">
        <v>3902</v>
      </c>
      <c r="E1210" s="2" t="s">
        <v>389</v>
      </c>
      <c r="F1210" s="2" t="s">
        <v>447</v>
      </c>
      <c r="G1210" s="2" t="s">
        <v>447</v>
      </c>
      <c r="H1210" s="2" t="s">
        <v>447</v>
      </c>
      <c r="I1210" s="2" t="s">
        <v>30</v>
      </c>
      <c r="J1210" s="2" t="s">
        <v>3903</v>
      </c>
      <c r="K1210" s="2" t="str">
        <f>"5"</f>
        <v>5</v>
      </c>
      <c r="L1210" s="2" t="str">
        <f>""</f>
        <v/>
      </c>
      <c r="M1210" s="2" t="str">
        <f>"10-516"</f>
        <v>10-516</v>
      </c>
      <c r="N1210" s="2" t="str">
        <f>"895270346"</f>
        <v>895270346</v>
      </c>
      <c r="O1210" s="2" t="s">
        <v>3904</v>
      </c>
      <c r="P1210" s="2" t="s">
        <v>121</v>
      </c>
    </row>
    <row r="1211" spans="1:16" x14ac:dyDescent="0.25">
      <c r="A1211" s="2">
        <v>262350</v>
      </c>
      <c r="B1211" s="2" t="str">
        <f>"367987482"</f>
        <v>367987482</v>
      </c>
      <c r="C1211" s="2" t="s">
        <v>16</v>
      </c>
      <c r="D1211" s="2" t="s">
        <v>3905</v>
      </c>
      <c r="E1211" s="2" t="s">
        <v>157</v>
      </c>
      <c r="F1211" s="2" t="s">
        <v>3906</v>
      </c>
      <c r="G1211" s="2" t="s">
        <v>3907</v>
      </c>
      <c r="H1211" s="2" t="s">
        <v>3907</v>
      </c>
      <c r="I1211" s="2" t="s">
        <v>30</v>
      </c>
      <c r="J1211" s="2" t="s">
        <v>823</v>
      </c>
      <c r="K1211" s="2" t="str">
        <f>"1"</f>
        <v>1</v>
      </c>
      <c r="L1211" s="2" t="str">
        <f>""</f>
        <v/>
      </c>
      <c r="M1211" s="2" t="str">
        <f>"62-860"</f>
        <v>62-860</v>
      </c>
      <c r="N1211" s="2" t="str">
        <f>"627529447"</f>
        <v>627529447</v>
      </c>
      <c r="O1211" s="2" t="s">
        <v>3908</v>
      </c>
      <c r="P1211" s="2" t="s">
        <v>121</v>
      </c>
    </row>
    <row r="1212" spans="1:16" x14ac:dyDescent="0.25">
      <c r="A1212" s="2">
        <v>30390</v>
      </c>
      <c r="B1212" s="2" t="str">
        <f>"017255824"</f>
        <v>017255824</v>
      </c>
      <c r="C1212" s="2" t="s">
        <v>16</v>
      </c>
      <c r="D1212" s="2" t="s">
        <v>3909</v>
      </c>
      <c r="E1212" s="2" t="s">
        <v>18</v>
      </c>
      <c r="F1212" s="2" t="s">
        <v>650</v>
      </c>
      <c r="G1212" s="2" t="s">
        <v>651</v>
      </c>
      <c r="H1212" s="2" t="s">
        <v>651</v>
      </c>
      <c r="I1212" s="2" t="s">
        <v>30</v>
      </c>
      <c r="J1212" s="2" t="s">
        <v>2721</v>
      </c>
      <c r="K1212" s="2" t="str">
        <f>"17/19"</f>
        <v>17/19</v>
      </c>
      <c r="L1212" s="2" t="str">
        <f>""</f>
        <v/>
      </c>
      <c r="M1212" s="2" t="str">
        <f>"05-400"</f>
        <v>05-400</v>
      </c>
      <c r="N1212" s="2" t="str">
        <f>"227101550"</f>
        <v>227101550</v>
      </c>
      <c r="O1212" s="2" t="s">
        <v>3910</v>
      </c>
      <c r="P1212" s="2" t="s">
        <v>121</v>
      </c>
    </row>
    <row r="1213" spans="1:16" x14ac:dyDescent="0.25">
      <c r="A1213" s="2">
        <v>9751</v>
      </c>
      <c r="B1213" s="2" t="str">
        <f>"000716017"</f>
        <v>000716017</v>
      </c>
      <c r="C1213" s="2" t="s">
        <v>16</v>
      </c>
      <c r="D1213" s="2" t="s">
        <v>3808</v>
      </c>
      <c r="E1213" s="2" t="s">
        <v>39</v>
      </c>
      <c r="F1213" s="2" t="s">
        <v>3803</v>
      </c>
      <c r="G1213" s="2" t="s">
        <v>3807</v>
      </c>
      <c r="H1213" s="2" t="s">
        <v>3807</v>
      </c>
      <c r="I1213" s="2" t="s">
        <v>30</v>
      </c>
      <c r="J1213" s="2" t="s">
        <v>701</v>
      </c>
      <c r="K1213" s="2" t="str">
        <f>"34"</f>
        <v>34</v>
      </c>
      <c r="L1213" s="2" t="str">
        <f>""</f>
        <v/>
      </c>
      <c r="M1213" s="2" t="str">
        <f>"98-330"</f>
        <v>98-330</v>
      </c>
      <c r="N1213" s="2" t="str">
        <f>"343112471"</f>
        <v>343112471</v>
      </c>
      <c r="O1213" s="2" t="s">
        <v>3911</v>
      </c>
      <c r="P1213" s="2" t="s">
        <v>121</v>
      </c>
    </row>
    <row r="1214" spans="1:16" x14ac:dyDescent="0.25">
      <c r="A1214" s="2">
        <v>29551</v>
      </c>
      <c r="B1214" s="2" t="str">
        <f>"000713786"</f>
        <v>000713786</v>
      </c>
      <c r="C1214" s="2" t="s">
        <v>16</v>
      </c>
      <c r="D1214" s="2" t="s">
        <v>3912</v>
      </c>
      <c r="E1214" s="2" t="s">
        <v>112</v>
      </c>
      <c r="F1214" s="2" t="s">
        <v>3913</v>
      </c>
      <c r="G1214" s="2" t="s">
        <v>3914</v>
      </c>
      <c r="H1214" s="2" t="s">
        <v>3914</v>
      </c>
      <c r="I1214" s="2" t="s">
        <v>30</v>
      </c>
      <c r="J1214" s="2" t="s">
        <v>138</v>
      </c>
      <c r="K1214" s="2" t="str">
        <f>"5"</f>
        <v>5</v>
      </c>
      <c r="L1214" s="2" t="str">
        <f>""</f>
        <v/>
      </c>
      <c r="M1214" s="2" t="str">
        <f>"21-200"</f>
        <v>21-200</v>
      </c>
      <c r="N1214" s="2" t="str">
        <f>"833542813"</f>
        <v>833542813</v>
      </c>
      <c r="O1214" s="2" t="s">
        <v>3915</v>
      </c>
      <c r="P1214" s="2" t="s">
        <v>121</v>
      </c>
    </row>
    <row r="1215" spans="1:16" x14ac:dyDescent="0.25">
      <c r="A1215" s="2">
        <v>5882</v>
      </c>
      <c r="B1215" s="2" t="str">
        <f>"292367464"</f>
        <v>292367464</v>
      </c>
      <c r="C1215" s="2" t="s">
        <v>16</v>
      </c>
      <c r="D1215" s="2" t="s">
        <v>3916</v>
      </c>
      <c r="E1215" s="2" t="s">
        <v>74</v>
      </c>
      <c r="F1215" s="2" t="s">
        <v>775</v>
      </c>
      <c r="G1215" s="2" t="s">
        <v>3917</v>
      </c>
      <c r="H1215" s="2" t="s">
        <v>3917</v>
      </c>
      <c r="I1215" s="2" t="s">
        <v>30</v>
      </c>
      <c r="J1215" s="2" t="s">
        <v>3499</v>
      </c>
      <c r="K1215" s="2" t="str">
        <f>"110"</f>
        <v>110</v>
      </c>
      <c r="L1215" s="2" t="str">
        <f>""</f>
        <v/>
      </c>
      <c r="M1215" s="2" t="str">
        <f>"26-065"</f>
        <v>26-065</v>
      </c>
      <c r="N1215" s="2" t="str">
        <f>"413061115"</f>
        <v>413061115</v>
      </c>
      <c r="O1215" s="2" t="s">
        <v>3918</v>
      </c>
      <c r="P1215" s="2" t="s">
        <v>121</v>
      </c>
    </row>
    <row r="1216" spans="1:16" x14ac:dyDescent="0.25">
      <c r="A1216" s="2">
        <v>108849</v>
      </c>
      <c r="B1216" s="2" t="str">
        <f>"101545900"</f>
        <v>101545900</v>
      </c>
      <c r="C1216" s="2" t="s">
        <v>16</v>
      </c>
      <c r="D1216" s="2" t="s">
        <v>3919</v>
      </c>
      <c r="E1216" s="2" t="s">
        <v>39</v>
      </c>
      <c r="F1216" s="2" t="s">
        <v>334</v>
      </c>
      <c r="G1216" s="2" t="s">
        <v>334</v>
      </c>
      <c r="H1216" s="2" t="s">
        <v>334</v>
      </c>
      <c r="I1216" s="2" t="s">
        <v>30</v>
      </c>
      <c r="J1216" s="2" t="s">
        <v>1542</v>
      </c>
      <c r="K1216" s="2" t="str">
        <f>"16a"</f>
        <v>16a</v>
      </c>
      <c r="L1216" s="2" t="str">
        <f>""</f>
        <v/>
      </c>
      <c r="M1216" s="2" t="str">
        <f>"97-300"</f>
        <v>97-300</v>
      </c>
      <c r="N1216" s="2" t="str">
        <f>"447327840"</f>
        <v>447327840</v>
      </c>
      <c r="O1216" s="2" t="s">
        <v>3920</v>
      </c>
      <c r="P1216" s="2" t="s">
        <v>121</v>
      </c>
    </row>
    <row r="1217" spans="1:16" x14ac:dyDescent="0.25">
      <c r="A1217" s="2">
        <v>27213</v>
      </c>
      <c r="B1217" s="2" t="str">
        <f>"301491947"</f>
        <v>301491947</v>
      </c>
      <c r="C1217" s="2" t="s">
        <v>16</v>
      </c>
      <c r="D1217" s="2" t="s">
        <v>3921</v>
      </c>
      <c r="E1217" s="2" t="s">
        <v>157</v>
      </c>
      <c r="F1217" s="2" t="s">
        <v>3922</v>
      </c>
      <c r="G1217" s="2" t="s">
        <v>3923</v>
      </c>
      <c r="H1217" s="2" t="s">
        <v>3923</v>
      </c>
      <c r="I1217" s="2" t="s">
        <v>30</v>
      </c>
      <c r="J1217" s="2" t="s">
        <v>3924</v>
      </c>
      <c r="K1217" s="2" t="str">
        <f>"2"</f>
        <v>2</v>
      </c>
      <c r="L1217" s="2" t="str">
        <f>""</f>
        <v/>
      </c>
      <c r="M1217" s="2" t="str">
        <f>"64-130"</f>
        <v>64-130</v>
      </c>
      <c r="N1217" s="2" t="str">
        <f>"655380055"</f>
        <v>655380055</v>
      </c>
      <c r="O1217" s="2" t="s">
        <v>3925</v>
      </c>
      <c r="P1217" s="2" t="s">
        <v>121</v>
      </c>
    </row>
    <row r="1218" spans="1:16" x14ac:dyDescent="0.25">
      <c r="A1218" s="2">
        <v>105588</v>
      </c>
      <c r="B1218" s="2" t="str">
        <f>"000734601"</f>
        <v>000734601</v>
      </c>
      <c r="C1218" s="2" t="s">
        <v>16</v>
      </c>
      <c r="D1218" s="2" t="s">
        <v>3926</v>
      </c>
      <c r="E1218" s="2" t="s">
        <v>97</v>
      </c>
      <c r="F1218" s="2" t="s">
        <v>808</v>
      </c>
      <c r="G1218" s="2" t="s">
        <v>809</v>
      </c>
      <c r="H1218" s="2" t="s">
        <v>809</v>
      </c>
      <c r="I1218" s="2" t="s">
        <v>30</v>
      </c>
      <c r="J1218" s="2" t="s">
        <v>188</v>
      </c>
      <c r="K1218" s="2" t="str">
        <f>"43"</f>
        <v>43</v>
      </c>
      <c r="L1218" s="2" t="str">
        <f>"a"</f>
        <v>a</v>
      </c>
      <c r="M1218" s="2" t="str">
        <f>"17-300"</f>
        <v>17-300</v>
      </c>
      <c r="N1218" s="2" t="str">
        <f>"856552612"</f>
        <v>856552612</v>
      </c>
      <c r="O1218" s="2" t="s">
        <v>3927</v>
      </c>
      <c r="P1218" s="2" t="s">
        <v>121</v>
      </c>
    </row>
    <row r="1219" spans="1:16" x14ac:dyDescent="0.25">
      <c r="A1219" s="2">
        <v>87550</v>
      </c>
      <c r="B1219" s="2" t="str">
        <f>"750722020"</f>
        <v>750722020</v>
      </c>
      <c r="C1219" s="2" t="s">
        <v>16</v>
      </c>
      <c r="D1219" s="2" t="s">
        <v>3928</v>
      </c>
      <c r="E1219" s="2" t="s">
        <v>39</v>
      </c>
      <c r="F1219" s="2" t="s">
        <v>857</v>
      </c>
      <c r="G1219" s="2" t="s">
        <v>857</v>
      </c>
      <c r="H1219" s="2" t="s">
        <v>857</v>
      </c>
      <c r="I1219" s="2" t="s">
        <v>30</v>
      </c>
      <c r="J1219" s="2" t="s">
        <v>3116</v>
      </c>
      <c r="K1219" s="2" t="str">
        <f>"6"</f>
        <v>6</v>
      </c>
      <c r="L1219" s="2" t="str">
        <f>""</f>
        <v/>
      </c>
      <c r="M1219" s="2" t="str">
        <f>"96-100"</f>
        <v>96-100</v>
      </c>
      <c r="N1219" s="2" t="str">
        <f>"468345966"</f>
        <v>468345966</v>
      </c>
      <c r="O1219" s="2" t="s">
        <v>3929</v>
      </c>
      <c r="P1219" s="2" t="s">
        <v>121</v>
      </c>
    </row>
    <row r="1220" spans="1:16" x14ac:dyDescent="0.25">
      <c r="A1220" s="2">
        <v>92392</v>
      </c>
      <c r="B1220" s="2" t="str">
        <f>"33108408700021"</f>
        <v>33108408700021</v>
      </c>
      <c r="C1220" s="2" t="s">
        <v>16</v>
      </c>
      <c r="D1220" s="2" t="s">
        <v>3930</v>
      </c>
      <c r="E1220" s="2" t="s">
        <v>34</v>
      </c>
      <c r="F1220" s="2" t="s">
        <v>1049</v>
      </c>
      <c r="G1220" s="2" t="s">
        <v>1050</v>
      </c>
      <c r="H1220" s="2" t="s">
        <v>1050</v>
      </c>
      <c r="I1220" s="2" t="s">
        <v>30</v>
      </c>
      <c r="J1220" s="2" t="s">
        <v>3931</v>
      </c>
      <c r="K1220" s="2" t="str">
        <f>"2"</f>
        <v>2</v>
      </c>
      <c r="L1220" s="2" t="str">
        <f>""</f>
        <v/>
      </c>
      <c r="M1220" s="2" t="str">
        <f>"76-150"</f>
        <v>76-150</v>
      </c>
      <c r="N1220" s="2" t="str">
        <f>"943141149"</f>
        <v>943141149</v>
      </c>
      <c r="O1220" s="2" t="s">
        <v>3832</v>
      </c>
      <c r="P1220" s="2" t="s">
        <v>121</v>
      </c>
    </row>
    <row r="1221" spans="1:16" x14ac:dyDescent="0.25">
      <c r="A1221" s="2">
        <v>13331</v>
      </c>
      <c r="B1221" s="2" t="str">
        <f>"310162872"</f>
        <v>310162872</v>
      </c>
      <c r="C1221" s="2" t="s">
        <v>16</v>
      </c>
      <c r="D1221" s="2" t="s">
        <v>3932</v>
      </c>
      <c r="E1221" s="2" t="s">
        <v>157</v>
      </c>
      <c r="F1221" s="2" t="s">
        <v>1072</v>
      </c>
      <c r="G1221" s="2" t="s">
        <v>3933</v>
      </c>
      <c r="H1221" s="2" t="s">
        <v>3933</v>
      </c>
      <c r="I1221" s="2" t="s">
        <v>30</v>
      </c>
      <c r="J1221" s="2" t="s">
        <v>1696</v>
      </c>
      <c r="K1221" s="2" t="str">
        <f>"55"</f>
        <v>55</v>
      </c>
      <c r="L1221" s="2" t="str">
        <f>""</f>
        <v/>
      </c>
      <c r="M1221" s="2" t="str">
        <f>"62-561"</f>
        <v>62-561</v>
      </c>
      <c r="N1221" s="2" t="str">
        <f>"632705988"</f>
        <v>632705988</v>
      </c>
      <c r="O1221" s="2" t="s">
        <v>3934</v>
      </c>
      <c r="P1221" s="2" t="s">
        <v>121</v>
      </c>
    </row>
    <row r="1222" spans="1:16" x14ac:dyDescent="0.25">
      <c r="A1222" s="2">
        <v>125249</v>
      </c>
      <c r="B1222" s="2" t="str">
        <f>"31016287200026"</f>
        <v>31016287200026</v>
      </c>
      <c r="C1222" s="2" t="s">
        <v>16</v>
      </c>
      <c r="D1222" s="2" t="s">
        <v>3935</v>
      </c>
      <c r="E1222" s="2" t="s">
        <v>157</v>
      </c>
      <c r="F1222" s="2" t="s">
        <v>425</v>
      </c>
      <c r="G1222" s="2" t="s">
        <v>425</v>
      </c>
      <c r="H1222" s="2" t="s">
        <v>425</v>
      </c>
      <c r="I1222" s="2" t="s">
        <v>30</v>
      </c>
      <c r="J1222" s="2" t="s">
        <v>297</v>
      </c>
      <c r="K1222" s="2" t="str">
        <f>"74"</f>
        <v>74</v>
      </c>
      <c r="L1222" s="2" t="str">
        <f>""</f>
        <v/>
      </c>
      <c r="M1222" s="2" t="str">
        <f>"62-510"</f>
        <v>62-510</v>
      </c>
      <c r="N1222" s="2" t="str">
        <f>"632430378"</f>
        <v>632430378</v>
      </c>
      <c r="O1222" s="2" t="s">
        <v>3936</v>
      </c>
      <c r="P1222" s="2" t="s">
        <v>121</v>
      </c>
    </row>
    <row r="1223" spans="1:16" x14ac:dyDescent="0.25">
      <c r="A1223" s="2">
        <v>38611</v>
      </c>
      <c r="B1223" s="2" t="str">
        <f>"851814608"</f>
        <v>851814608</v>
      </c>
      <c r="C1223" s="2" t="s">
        <v>16</v>
      </c>
      <c r="D1223" s="2" t="s">
        <v>3937</v>
      </c>
      <c r="E1223" s="2" t="s">
        <v>27</v>
      </c>
      <c r="F1223" s="2" t="s">
        <v>187</v>
      </c>
      <c r="G1223" s="2" t="s">
        <v>187</v>
      </c>
      <c r="H1223" s="2" t="s">
        <v>187</v>
      </c>
      <c r="I1223" s="2" t="s">
        <v>30</v>
      </c>
      <c r="J1223" s="2" t="s">
        <v>3938</v>
      </c>
      <c r="K1223" s="2" t="str">
        <f>"17A"</f>
        <v>17A</v>
      </c>
      <c r="L1223" s="2" t="str">
        <f>""</f>
        <v/>
      </c>
      <c r="M1223" s="2" t="str">
        <f>"33-100"</f>
        <v>33-100</v>
      </c>
      <c r="N1223" s="2" t="str">
        <f>"146272959"</f>
        <v>146272959</v>
      </c>
      <c r="O1223" s="2" t="s">
        <v>3939</v>
      </c>
      <c r="P1223" s="2" t="s">
        <v>121</v>
      </c>
    </row>
    <row r="1224" spans="1:16" x14ac:dyDescent="0.25">
      <c r="A1224" s="2">
        <v>57821</v>
      </c>
      <c r="B1224" s="2" t="str">
        <f>"85181460800033"</f>
        <v>85181460800033</v>
      </c>
      <c r="C1224" s="2" t="s">
        <v>16</v>
      </c>
      <c r="D1224" s="2" t="s">
        <v>3940</v>
      </c>
      <c r="E1224" s="2" t="s">
        <v>27</v>
      </c>
      <c r="F1224" s="2" t="s">
        <v>200</v>
      </c>
      <c r="G1224" s="2" t="s">
        <v>3941</v>
      </c>
      <c r="H1224" s="2" t="s">
        <v>3941</v>
      </c>
      <c r="I1224" s="2" t="s">
        <v>30</v>
      </c>
      <c r="J1224" s="2" t="s">
        <v>3942</v>
      </c>
      <c r="K1224" s="2" t="str">
        <f>"1"</f>
        <v>1</v>
      </c>
      <c r="L1224" s="2" t="str">
        <f>""</f>
        <v/>
      </c>
      <c r="M1224" s="2" t="str">
        <f>"33-170"</f>
        <v>33-170</v>
      </c>
      <c r="N1224" s="2" t="str">
        <f>"146526494"</f>
        <v>146526494</v>
      </c>
      <c r="O1224" s="2" t="s">
        <v>3943</v>
      </c>
      <c r="P1224" s="2" t="s">
        <v>121</v>
      </c>
    </row>
    <row r="1225" spans="1:16" x14ac:dyDescent="0.25">
      <c r="A1225" s="2">
        <v>57818</v>
      </c>
      <c r="B1225" s="2" t="str">
        <f>"85181460800026"</f>
        <v>85181460800026</v>
      </c>
      <c r="C1225" s="2" t="s">
        <v>16</v>
      </c>
      <c r="D1225" s="2" t="s">
        <v>3944</v>
      </c>
      <c r="E1225" s="2" t="s">
        <v>27</v>
      </c>
      <c r="F1225" s="2" t="s">
        <v>200</v>
      </c>
      <c r="G1225" s="2" t="s">
        <v>3945</v>
      </c>
      <c r="H1225" s="2" t="s">
        <v>3945</v>
      </c>
      <c r="I1225" s="2" t="s">
        <v>30</v>
      </c>
      <c r="J1225" s="2" t="s">
        <v>1989</v>
      </c>
      <c r="K1225" s="2" t="str">
        <f>"17"</f>
        <v>17</v>
      </c>
      <c r="L1225" s="2" t="str">
        <f>""</f>
        <v/>
      </c>
      <c r="M1225" s="2" t="str">
        <f>"32-830"</f>
        <v>32-830</v>
      </c>
      <c r="N1225" s="2" t="str">
        <f>"146501131"</f>
        <v>146501131</v>
      </c>
      <c r="O1225" s="2" t="s">
        <v>3946</v>
      </c>
      <c r="P1225" s="2" t="s">
        <v>121</v>
      </c>
    </row>
    <row r="1226" spans="1:16" x14ac:dyDescent="0.25">
      <c r="A1226" s="2">
        <v>57822</v>
      </c>
      <c r="B1226" s="2" t="str">
        <f>"85181460800040"</f>
        <v>85181460800040</v>
      </c>
      <c r="C1226" s="2" t="s">
        <v>16</v>
      </c>
      <c r="D1226" s="2" t="s">
        <v>3947</v>
      </c>
      <c r="E1226" s="2" t="s">
        <v>27</v>
      </c>
      <c r="F1226" s="2" t="s">
        <v>200</v>
      </c>
      <c r="G1226" s="2" t="s">
        <v>3948</v>
      </c>
      <c r="H1226" s="2" t="s">
        <v>3948</v>
      </c>
      <c r="I1226" s="2" t="s">
        <v>30</v>
      </c>
      <c r="J1226" s="2" t="s">
        <v>1734</v>
      </c>
      <c r="K1226" s="2" t="str">
        <f>"18"</f>
        <v>18</v>
      </c>
      <c r="L1226" s="2" t="str">
        <f>""</f>
        <v/>
      </c>
      <c r="M1226" s="2" t="str">
        <f>"33-240"</f>
        <v>33-240</v>
      </c>
      <c r="N1226" s="2" t="str">
        <f>"146456936"</f>
        <v>146456936</v>
      </c>
      <c r="O1226" s="2" t="s">
        <v>3949</v>
      </c>
      <c r="P1226" s="2" t="s">
        <v>121</v>
      </c>
    </row>
    <row r="1227" spans="1:16" x14ac:dyDescent="0.25">
      <c r="A1227" s="2">
        <v>21814</v>
      </c>
      <c r="B1227" s="2" t="str">
        <f>"000914912"</f>
        <v>000914912</v>
      </c>
      <c r="C1227" s="2" t="s">
        <v>16</v>
      </c>
      <c r="D1227" s="2" t="s">
        <v>3950</v>
      </c>
      <c r="E1227" s="2" t="s">
        <v>64</v>
      </c>
      <c r="F1227" s="2" t="s">
        <v>227</v>
      </c>
      <c r="G1227" s="2" t="s">
        <v>228</v>
      </c>
      <c r="H1227" s="2" t="s">
        <v>228</v>
      </c>
      <c r="I1227" s="2" t="s">
        <v>30</v>
      </c>
      <c r="J1227" s="2" t="s">
        <v>823</v>
      </c>
      <c r="K1227" s="2" t="str">
        <f>"2"</f>
        <v>2</v>
      </c>
      <c r="L1227" s="2" t="str">
        <f>""</f>
        <v/>
      </c>
      <c r="M1227" s="2" t="str">
        <f>"58-200"</f>
        <v>58-200</v>
      </c>
      <c r="N1227" s="2" t="str">
        <f>"748315679"</f>
        <v>748315679</v>
      </c>
      <c r="O1227" s="2" t="s">
        <v>3951</v>
      </c>
      <c r="P1227" s="2" t="s">
        <v>121</v>
      </c>
    </row>
    <row r="1228" spans="1:16" x14ac:dyDescent="0.25">
      <c r="A1228" s="2">
        <v>104953</v>
      </c>
      <c r="B1228" s="2" t="str">
        <f>"89111851000024"</f>
        <v>89111851000024</v>
      </c>
      <c r="C1228" s="2" t="s">
        <v>16</v>
      </c>
      <c r="D1228" s="2" t="s">
        <v>3952</v>
      </c>
      <c r="E1228" s="2" t="s">
        <v>64</v>
      </c>
      <c r="F1228" s="2" t="s">
        <v>227</v>
      </c>
      <c r="G1228" s="2" t="s">
        <v>231</v>
      </c>
      <c r="H1228" s="2" t="s">
        <v>231</v>
      </c>
      <c r="I1228" s="2" t="s">
        <v>30</v>
      </c>
      <c r="J1228" s="2" t="s">
        <v>514</v>
      </c>
      <c r="K1228" s="2" t="str">
        <f>"22-24"</f>
        <v>22-24</v>
      </c>
      <c r="L1228" s="2" t="str">
        <f>""</f>
        <v/>
      </c>
      <c r="M1228" s="2" t="str">
        <f>"58-260"</f>
        <v>58-260</v>
      </c>
      <c r="N1228" s="2" t="str">
        <f>"748338299"</f>
        <v>748338299</v>
      </c>
      <c r="O1228" s="2" t="s">
        <v>3953</v>
      </c>
      <c r="P1228" s="2" t="s">
        <v>121</v>
      </c>
    </row>
    <row r="1229" spans="1:16" x14ac:dyDescent="0.25">
      <c r="A1229" s="2">
        <v>10328</v>
      </c>
      <c r="B1229" s="2" t="str">
        <f>"510939739"</f>
        <v>510939739</v>
      </c>
      <c r="C1229" s="2" t="s">
        <v>16</v>
      </c>
      <c r="D1229" s="2" t="s">
        <v>3954</v>
      </c>
      <c r="E1229" s="2" t="s">
        <v>389</v>
      </c>
      <c r="F1229" s="2" t="s">
        <v>3955</v>
      </c>
      <c r="G1229" s="2" t="s">
        <v>3956</v>
      </c>
      <c r="H1229" s="2" t="s">
        <v>3956</v>
      </c>
      <c r="I1229" s="2" t="s">
        <v>30</v>
      </c>
      <c r="J1229" s="2" t="s">
        <v>2979</v>
      </c>
      <c r="K1229" s="2" t="str">
        <f>"8a"</f>
        <v>8a</v>
      </c>
      <c r="L1229" s="2" t="str">
        <f>""</f>
        <v/>
      </c>
      <c r="M1229" s="2" t="str">
        <f>"14-200"</f>
        <v>14-200</v>
      </c>
      <c r="N1229" s="2" t="str">
        <f>"896492435"</f>
        <v>896492435</v>
      </c>
      <c r="O1229" s="2" t="s">
        <v>3957</v>
      </c>
      <c r="P1229" s="2" t="s">
        <v>121</v>
      </c>
    </row>
    <row r="1230" spans="1:16" x14ac:dyDescent="0.25">
      <c r="A1230" s="2">
        <v>13974</v>
      </c>
      <c r="B1230" s="2" t="str">
        <f>"432319158"</f>
        <v>432319158</v>
      </c>
      <c r="C1230" s="2" t="s">
        <v>16</v>
      </c>
      <c r="D1230" s="2" t="s">
        <v>3958</v>
      </c>
      <c r="E1230" s="2" t="s">
        <v>112</v>
      </c>
      <c r="F1230" s="2" t="s">
        <v>250</v>
      </c>
      <c r="G1230" s="2" t="s">
        <v>251</v>
      </c>
      <c r="H1230" s="2" t="s">
        <v>251</v>
      </c>
      <c r="I1230" s="2" t="s">
        <v>30</v>
      </c>
      <c r="J1230" s="2" t="s">
        <v>1572</v>
      </c>
      <c r="K1230" s="2" t="str">
        <f>"7"</f>
        <v>7</v>
      </c>
      <c r="L1230" s="2" t="str">
        <f>""</f>
        <v/>
      </c>
      <c r="M1230" s="2" t="str">
        <f>"23-210"</f>
        <v>23-210</v>
      </c>
      <c r="N1230" s="2" t="str">
        <f>"818258788"</f>
        <v>818258788</v>
      </c>
      <c r="O1230" s="2" t="s">
        <v>3959</v>
      </c>
      <c r="P1230" s="2" t="s">
        <v>121</v>
      </c>
    </row>
    <row r="1231" spans="1:16" hidden="1" x14ac:dyDescent="0.25">
      <c r="A1231">
        <v>272829</v>
      </c>
      <c r="B1231" t="str">
        <f>"384297755"</f>
        <v>384297755</v>
      </c>
      <c r="C1231" t="s">
        <v>16</v>
      </c>
      <c r="D1231" t="s">
        <v>3960</v>
      </c>
      <c r="E1231" t="s">
        <v>18</v>
      </c>
      <c r="F1231" t="s">
        <v>1175</v>
      </c>
      <c r="G1231" t="s">
        <v>1176</v>
      </c>
      <c r="H1231" t="s">
        <v>1176</v>
      </c>
      <c r="I1231" t="s">
        <v>30</v>
      </c>
      <c r="J1231" t="s">
        <v>509</v>
      </c>
      <c r="K1231" t="str">
        <f>"52"</f>
        <v>52</v>
      </c>
      <c r="L1231" t="str">
        <f>"15"</f>
        <v>15</v>
      </c>
      <c r="M1231" t="str">
        <f>"08-400"</f>
        <v>08-400</v>
      </c>
      <c r="N1231" t="str">
        <f>"503751824"</f>
        <v>503751824</v>
      </c>
      <c r="O1231" t="s">
        <v>3961</v>
      </c>
      <c r="P1231" t="s">
        <v>24</v>
      </c>
    </row>
    <row r="1232" spans="1:16" hidden="1" x14ac:dyDescent="0.25">
      <c r="A1232">
        <v>480889</v>
      </c>
      <c r="B1232" t="str">
        <f>"526390198"</f>
        <v>526390198</v>
      </c>
      <c r="C1232" t="s">
        <v>16</v>
      </c>
      <c r="D1232" t="s">
        <v>3962</v>
      </c>
      <c r="E1232" t="s">
        <v>101</v>
      </c>
      <c r="F1232" t="s">
        <v>1408</v>
      </c>
      <c r="G1232" t="s">
        <v>1409</v>
      </c>
      <c r="H1232" t="s">
        <v>1409</v>
      </c>
      <c r="I1232" t="s">
        <v>30</v>
      </c>
      <c r="J1232" t="s">
        <v>2892</v>
      </c>
      <c r="K1232" t="str">
        <f>"1"</f>
        <v>1</v>
      </c>
      <c r="L1232" t="str">
        <f>""</f>
        <v/>
      </c>
      <c r="M1232" t="str">
        <f>"37-100"</f>
        <v>37-100</v>
      </c>
      <c r="N1232" t="str">
        <f>"503420579"</f>
        <v>503420579</v>
      </c>
      <c r="O1232" t="s">
        <v>3963</v>
      </c>
      <c r="P1232" t="s">
        <v>24</v>
      </c>
    </row>
    <row r="1233" spans="1:16" hidden="1" x14ac:dyDescent="0.25">
      <c r="A1233">
        <v>272280</v>
      </c>
      <c r="B1233" t="str">
        <f>"384083617"</f>
        <v>384083617</v>
      </c>
      <c r="C1233" t="s">
        <v>16</v>
      </c>
      <c r="D1233" t="s">
        <v>3964</v>
      </c>
      <c r="E1233" t="s">
        <v>18</v>
      </c>
      <c r="F1233" t="s">
        <v>19</v>
      </c>
      <c r="G1233" t="s">
        <v>405</v>
      </c>
      <c r="H1233" t="s">
        <v>405</v>
      </c>
      <c r="I1233" t="s">
        <v>21</v>
      </c>
      <c r="J1233" t="s">
        <v>3965</v>
      </c>
      <c r="K1233" t="str">
        <f>"6"</f>
        <v>6</v>
      </c>
      <c r="L1233" t="str">
        <f>"5"</f>
        <v>5</v>
      </c>
      <c r="M1233" t="str">
        <f>"04-203"</f>
        <v>04-203</v>
      </c>
      <c r="N1233" t="str">
        <f>"502178774"</f>
        <v>502178774</v>
      </c>
      <c r="O1233" t="s">
        <v>3966</v>
      </c>
      <c r="P1233" t="s">
        <v>24</v>
      </c>
    </row>
    <row r="1234" spans="1:16" hidden="1" x14ac:dyDescent="0.25">
      <c r="A1234">
        <v>127121</v>
      </c>
      <c r="B1234" t="str">
        <f>"361140187"</f>
        <v>361140187</v>
      </c>
      <c r="C1234" t="s">
        <v>16</v>
      </c>
      <c r="D1234" t="s">
        <v>3967</v>
      </c>
      <c r="E1234" t="s">
        <v>157</v>
      </c>
      <c r="F1234" t="s">
        <v>3827</v>
      </c>
      <c r="G1234" t="s">
        <v>3828</v>
      </c>
      <c r="H1234" t="s">
        <v>3828</v>
      </c>
      <c r="I1234" t="s">
        <v>30</v>
      </c>
      <c r="J1234" t="s">
        <v>3968</v>
      </c>
      <c r="K1234" t="str">
        <f>"8"</f>
        <v>8</v>
      </c>
      <c r="L1234" t="str">
        <f>""</f>
        <v/>
      </c>
      <c r="M1234" t="str">
        <f>"64-200"</f>
        <v>64-200</v>
      </c>
      <c r="N1234" t="str">
        <f>"503429102"</f>
        <v>503429102</v>
      </c>
      <c r="P1234" t="s">
        <v>24</v>
      </c>
    </row>
    <row r="1235" spans="1:16" hidden="1" x14ac:dyDescent="0.25">
      <c r="A1235">
        <v>111535</v>
      </c>
      <c r="B1235" t="str">
        <f>"146576250"</f>
        <v>146576250</v>
      </c>
      <c r="C1235" t="s">
        <v>16</v>
      </c>
      <c r="D1235" t="s">
        <v>3969</v>
      </c>
      <c r="E1235" t="s">
        <v>18</v>
      </c>
      <c r="F1235" t="s">
        <v>19</v>
      </c>
      <c r="G1235" t="s">
        <v>886</v>
      </c>
      <c r="H1235" t="s">
        <v>886</v>
      </c>
      <c r="I1235" t="s">
        <v>21</v>
      </c>
      <c r="J1235" t="s">
        <v>3970</v>
      </c>
      <c r="K1235" t="str">
        <f>"15"</f>
        <v>15</v>
      </c>
      <c r="L1235" t="str">
        <f>"1a"</f>
        <v>1a</v>
      </c>
      <c r="M1235" t="str">
        <f>"00-743"</f>
        <v>00-743</v>
      </c>
      <c r="N1235" t="str">
        <f>"228416190"</f>
        <v>228416190</v>
      </c>
      <c r="O1235" t="s">
        <v>3971</v>
      </c>
      <c r="P1235" t="s">
        <v>24</v>
      </c>
    </row>
    <row r="1236" spans="1:16" hidden="1" x14ac:dyDescent="0.25">
      <c r="A1236">
        <v>128200</v>
      </c>
      <c r="B1236" t="str">
        <f>"362175035"</f>
        <v>362175035</v>
      </c>
      <c r="C1236" t="s">
        <v>16</v>
      </c>
      <c r="D1236" t="s">
        <v>3972</v>
      </c>
      <c r="E1236" t="s">
        <v>117</v>
      </c>
      <c r="F1236" t="s">
        <v>382</v>
      </c>
      <c r="G1236" t="s">
        <v>382</v>
      </c>
      <c r="H1236" t="s">
        <v>382</v>
      </c>
      <c r="I1236" t="s">
        <v>30</v>
      </c>
      <c r="J1236" t="s">
        <v>3973</v>
      </c>
      <c r="K1236" t="str">
        <f>"32"</f>
        <v>32</v>
      </c>
      <c r="L1236" t="str">
        <f>""</f>
        <v/>
      </c>
      <c r="M1236" t="str">
        <f>"40-578"</f>
        <v>40-578</v>
      </c>
      <c r="N1236" t="str">
        <f>"601290441"</f>
        <v>601290441</v>
      </c>
      <c r="O1236" t="s">
        <v>3974</v>
      </c>
      <c r="P1236" t="s">
        <v>24</v>
      </c>
    </row>
    <row r="1237" spans="1:16" hidden="1" x14ac:dyDescent="0.25">
      <c r="A1237">
        <v>278066</v>
      </c>
      <c r="B1237" t="str">
        <f>"389762553"</f>
        <v>389762553</v>
      </c>
      <c r="C1237" t="s">
        <v>16</v>
      </c>
      <c r="D1237" t="s">
        <v>3975</v>
      </c>
      <c r="E1237" t="s">
        <v>117</v>
      </c>
      <c r="F1237" t="s">
        <v>2002</v>
      </c>
      <c r="G1237" t="s">
        <v>2505</v>
      </c>
      <c r="H1237" t="s">
        <v>2505</v>
      </c>
      <c r="I1237" t="s">
        <v>30</v>
      </c>
      <c r="J1237" t="s">
        <v>354</v>
      </c>
      <c r="K1237" t="str">
        <f>"19A"</f>
        <v>19A</v>
      </c>
      <c r="L1237" t="str">
        <f>""</f>
        <v/>
      </c>
      <c r="M1237" t="str">
        <f>"43-200"</f>
        <v>43-200</v>
      </c>
      <c r="N1237" t="str">
        <f>"516528568"</f>
        <v>516528568</v>
      </c>
      <c r="O1237" t="s">
        <v>3976</v>
      </c>
      <c r="P1237" t="s">
        <v>24</v>
      </c>
    </row>
    <row r="1238" spans="1:16" hidden="1" x14ac:dyDescent="0.25">
      <c r="A1238">
        <v>75262</v>
      </c>
      <c r="B1238" t="str">
        <f>"200740630"</f>
        <v>200740630</v>
      </c>
      <c r="C1238" t="s">
        <v>16</v>
      </c>
      <c r="D1238" t="s">
        <v>3977</v>
      </c>
      <c r="E1238" t="s">
        <v>97</v>
      </c>
      <c r="F1238" t="s">
        <v>98</v>
      </c>
      <c r="G1238" t="s">
        <v>98</v>
      </c>
      <c r="H1238" t="s">
        <v>98</v>
      </c>
      <c r="I1238" t="s">
        <v>30</v>
      </c>
      <c r="J1238" t="s">
        <v>751</v>
      </c>
      <c r="K1238" t="str">
        <f>"36"</f>
        <v>36</v>
      </c>
      <c r="L1238" t="str">
        <f>""</f>
        <v/>
      </c>
      <c r="M1238" t="str">
        <f>"15-298"</f>
        <v>15-298</v>
      </c>
      <c r="N1238" t="str">
        <f>"857455001"</f>
        <v>857455001</v>
      </c>
      <c r="O1238" t="s">
        <v>3978</v>
      </c>
      <c r="P1238" t="s">
        <v>24</v>
      </c>
    </row>
    <row r="1239" spans="1:16" hidden="1" x14ac:dyDescent="0.25">
      <c r="A1239">
        <v>89718</v>
      </c>
      <c r="B1239" t="str">
        <f>"061495280"</f>
        <v>061495280</v>
      </c>
      <c r="C1239" t="s">
        <v>16</v>
      </c>
      <c r="D1239" t="s">
        <v>3979</v>
      </c>
      <c r="E1239" t="s">
        <v>112</v>
      </c>
      <c r="F1239" t="s">
        <v>113</v>
      </c>
      <c r="G1239" t="s">
        <v>113</v>
      </c>
      <c r="H1239" t="s">
        <v>113</v>
      </c>
      <c r="I1239" t="s">
        <v>30</v>
      </c>
      <c r="J1239" t="s">
        <v>3980</v>
      </c>
      <c r="K1239" t="str">
        <f>"3"</f>
        <v>3</v>
      </c>
      <c r="L1239" t="str">
        <f>""</f>
        <v/>
      </c>
      <c r="M1239" t="str">
        <f>"20-240"</f>
        <v>20-240</v>
      </c>
      <c r="N1239" t="str">
        <f>"817476536"</f>
        <v>817476536</v>
      </c>
      <c r="O1239" t="s">
        <v>3981</v>
      </c>
      <c r="P1239" t="s">
        <v>24</v>
      </c>
    </row>
    <row r="1240" spans="1:16" hidden="1" x14ac:dyDescent="0.25">
      <c r="A1240">
        <v>129202</v>
      </c>
      <c r="B1240" t="str">
        <f>"362515710"</f>
        <v>362515710</v>
      </c>
      <c r="C1240" t="s">
        <v>16</v>
      </c>
      <c r="D1240" t="s">
        <v>3982</v>
      </c>
      <c r="E1240" t="s">
        <v>112</v>
      </c>
      <c r="F1240" t="s">
        <v>2036</v>
      </c>
      <c r="G1240" t="s">
        <v>3480</v>
      </c>
      <c r="H1240" t="s">
        <v>3480</v>
      </c>
      <c r="I1240" t="s">
        <v>30</v>
      </c>
      <c r="J1240" t="s">
        <v>500</v>
      </c>
      <c r="K1240" t="str">
        <f>"37"</f>
        <v>37</v>
      </c>
      <c r="L1240" t="str">
        <f>""</f>
        <v/>
      </c>
      <c r="M1240" t="str">
        <f>"24-300"</f>
        <v>24-300</v>
      </c>
      <c r="N1240" t="str">
        <f>"695139150"</f>
        <v>695139150</v>
      </c>
      <c r="O1240" t="s">
        <v>3983</v>
      </c>
      <c r="P1240" t="s">
        <v>24</v>
      </c>
    </row>
    <row r="1241" spans="1:16" hidden="1" x14ac:dyDescent="0.25">
      <c r="A1241">
        <v>128781</v>
      </c>
      <c r="B1241" t="str">
        <f>"362392910"</f>
        <v>362392910</v>
      </c>
      <c r="C1241" t="s">
        <v>16</v>
      </c>
      <c r="D1241" t="s">
        <v>3984</v>
      </c>
      <c r="E1241" t="s">
        <v>112</v>
      </c>
      <c r="F1241" t="s">
        <v>3343</v>
      </c>
      <c r="G1241" t="s">
        <v>3344</v>
      </c>
      <c r="H1241" t="s">
        <v>3344</v>
      </c>
      <c r="I1241" t="s">
        <v>30</v>
      </c>
      <c r="J1241" t="s">
        <v>3985</v>
      </c>
      <c r="K1241" t="str">
        <f>"7"</f>
        <v>7</v>
      </c>
      <c r="L1241" t="str">
        <f>""</f>
        <v/>
      </c>
      <c r="M1241" t="str">
        <f>"21-010"</f>
        <v>21-010</v>
      </c>
      <c r="N1241" t="str">
        <f>"695139150"</f>
        <v>695139150</v>
      </c>
      <c r="O1241" t="s">
        <v>3986</v>
      </c>
      <c r="P1241" t="s">
        <v>24</v>
      </c>
    </row>
    <row r="1242" spans="1:16" hidden="1" x14ac:dyDescent="0.25">
      <c r="A1242">
        <v>132588</v>
      </c>
      <c r="B1242" t="str">
        <f>"365864806"</f>
        <v>365864806</v>
      </c>
      <c r="C1242" t="s">
        <v>16</v>
      </c>
      <c r="D1242" t="s">
        <v>3987</v>
      </c>
      <c r="E1242" t="s">
        <v>74</v>
      </c>
      <c r="F1242" t="s">
        <v>1295</v>
      </c>
      <c r="G1242" t="s">
        <v>1296</v>
      </c>
      <c r="H1242" t="s">
        <v>1296</v>
      </c>
      <c r="I1242" t="s">
        <v>30</v>
      </c>
      <c r="J1242" t="s">
        <v>2431</v>
      </c>
      <c r="K1242" t="str">
        <f>"29"</f>
        <v>29</v>
      </c>
      <c r="L1242" t="str">
        <f>""</f>
        <v/>
      </c>
      <c r="M1242" t="str">
        <f>"26-110"</f>
        <v>26-110</v>
      </c>
      <c r="N1242" t="str">
        <f>"696403678"</f>
        <v>696403678</v>
      </c>
      <c r="O1242" t="s">
        <v>3988</v>
      </c>
      <c r="P1242" t="s">
        <v>24</v>
      </c>
    </row>
    <row r="1243" spans="1:16" hidden="1" x14ac:dyDescent="0.25">
      <c r="A1243">
        <v>270128</v>
      </c>
      <c r="B1243" t="str">
        <f>"382051702"</f>
        <v>382051702</v>
      </c>
      <c r="C1243" t="s">
        <v>16</v>
      </c>
      <c r="D1243" t="s">
        <v>3989</v>
      </c>
      <c r="E1243" t="s">
        <v>64</v>
      </c>
      <c r="F1243" t="s">
        <v>3369</v>
      </c>
      <c r="G1243" t="s">
        <v>3370</v>
      </c>
      <c r="H1243" t="s">
        <v>3370</v>
      </c>
      <c r="I1243" t="s">
        <v>30</v>
      </c>
      <c r="J1243" t="s">
        <v>3990</v>
      </c>
      <c r="K1243" t="str">
        <f>"7"</f>
        <v>7</v>
      </c>
      <c r="L1243" t="str">
        <f>""</f>
        <v/>
      </c>
      <c r="M1243" t="str">
        <f>"59-800"</f>
        <v>59-800</v>
      </c>
      <c r="N1243" t="str">
        <f>"515362552"</f>
        <v>515362552</v>
      </c>
      <c r="O1243" t="s">
        <v>3991</v>
      </c>
      <c r="P1243" t="s">
        <v>24</v>
      </c>
    </row>
    <row r="1244" spans="1:16" hidden="1" x14ac:dyDescent="0.25">
      <c r="A1244">
        <v>16143</v>
      </c>
      <c r="B1244" t="str">
        <f>"146306160"</f>
        <v>146306160</v>
      </c>
      <c r="C1244" t="s">
        <v>16</v>
      </c>
      <c r="D1244" t="s">
        <v>3992</v>
      </c>
      <c r="E1244" t="s">
        <v>18</v>
      </c>
      <c r="F1244" t="s">
        <v>19</v>
      </c>
      <c r="G1244" t="s">
        <v>942</v>
      </c>
      <c r="H1244" t="s">
        <v>942</v>
      </c>
      <c r="I1244" t="s">
        <v>21</v>
      </c>
      <c r="J1244" t="s">
        <v>3993</v>
      </c>
      <c r="K1244" t="str">
        <f>"4"</f>
        <v>4</v>
      </c>
      <c r="L1244" t="str">
        <f>""</f>
        <v/>
      </c>
      <c r="M1244" t="str">
        <f>"03-454"</f>
        <v>03-454</v>
      </c>
      <c r="N1244" t="str">
        <f>"690822690"</f>
        <v>690822690</v>
      </c>
      <c r="P1244" t="s">
        <v>24</v>
      </c>
    </row>
    <row r="1245" spans="1:16" hidden="1" x14ac:dyDescent="0.25">
      <c r="A1245">
        <v>129294</v>
      </c>
      <c r="B1245" t="str">
        <f>"362550125"</f>
        <v>362550125</v>
      </c>
      <c r="C1245" t="s">
        <v>16</v>
      </c>
      <c r="D1245" t="s">
        <v>3994</v>
      </c>
      <c r="E1245" t="s">
        <v>117</v>
      </c>
      <c r="F1245" t="s">
        <v>382</v>
      </c>
      <c r="G1245" t="s">
        <v>382</v>
      </c>
      <c r="H1245" t="s">
        <v>382</v>
      </c>
      <c r="I1245" t="s">
        <v>30</v>
      </c>
      <c r="J1245" t="s">
        <v>3995</v>
      </c>
      <c r="K1245" t="str">
        <f>"65"</f>
        <v>65</v>
      </c>
      <c r="L1245" t="str">
        <f>""</f>
        <v/>
      </c>
      <c r="M1245" t="str">
        <f>"40-087"</f>
        <v>40-087</v>
      </c>
      <c r="N1245" t="str">
        <f>"600606132"</f>
        <v>600606132</v>
      </c>
      <c r="O1245" t="s">
        <v>3996</v>
      </c>
      <c r="P1245" t="s">
        <v>24</v>
      </c>
    </row>
    <row r="1246" spans="1:16" hidden="1" x14ac:dyDescent="0.25">
      <c r="A1246">
        <v>270427</v>
      </c>
      <c r="B1246" t="str">
        <f>"382581736"</f>
        <v>382581736</v>
      </c>
      <c r="C1246" t="s">
        <v>16</v>
      </c>
      <c r="D1246" t="s">
        <v>3997</v>
      </c>
      <c r="E1246" t="s">
        <v>64</v>
      </c>
      <c r="F1246" t="s">
        <v>227</v>
      </c>
      <c r="G1246" t="s">
        <v>231</v>
      </c>
      <c r="H1246" t="s">
        <v>231</v>
      </c>
      <c r="I1246" t="s">
        <v>30</v>
      </c>
      <c r="J1246" t="s">
        <v>514</v>
      </c>
      <c r="K1246" t="str">
        <f>"105"</f>
        <v>105</v>
      </c>
      <c r="L1246" t="str">
        <f>""</f>
        <v/>
      </c>
      <c r="M1246" t="str">
        <f>"58-260"</f>
        <v>58-260</v>
      </c>
      <c r="N1246" t="str">
        <f>"748331377"</f>
        <v>748331377</v>
      </c>
      <c r="O1246" t="s">
        <v>3998</v>
      </c>
      <c r="P1246" t="s">
        <v>24</v>
      </c>
    </row>
    <row r="1247" spans="1:16" hidden="1" x14ac:dyDescent="0.25">
      <c r="A1247">
        <v>278195</v>
      </c>
      <c r="B1247" t="str">
        <f>"389849159"</f>
        <v>389849159</v>
      </c>
      <c r="C1247" t="s">
        <v>16</v>
      </c>
      <c r="D1247" t="s">
        <v>3999</v>
      </c>
      <c r="E1247" t="s">
        <v>39</v>
      </c>
      <c r="F1247" t="s">
        <v>462</v>
      </c>
      <c r="G1247" t="s">
        <v>463</v>
      </c>
      <c r="H1247" t="s">
        <v>463</v>
      </c>
      <c r="I1247" t="s">
        <v>30</v>
      </c>
      <c r="J1247" t="s">
        <v>560</v>
      </c>
      <c r="K1247" t="str">
        <f>"6"</f>
        <v>6</v>
      </c>
      <c r="L1247" t="str">
        <f>""</f>
        <v/>
      </c>
      <c r="M1247" t="str">
        <f>"95-200"</f>
        <v>95-200</v>
      </c>
      <c r="N1247" t="str">
        <f>"695497978"</f>
        <v>695497978</v>
      </c>
      <c r="O1247" t="s">
        <v>4000</v>
      </c>
      <c r="P1247" t="s">
        <v>24</v>
      </c>
    </row>
    <row r="1248" spans="1:16" hidden="1" x14ac:dyDescent="0.25">
      <c r="A1248">
        <v>129628</v>
      </c>
      <c r="B1248" t="str">
        <f>"362692960"</f>
        <v>362692960</v>
      </c>
      <c r="C1248" t="s">
        <v>16</v>
      </c>
      <c r="D1248" t="s">
        <v>4001</v>
      </c>
      <c r="E1248" t="s">
        <v>80</v>
      </c>
      <c r="F1248" t="s">
        <v>571</v>
      </c>
      <c r="G1248" t="s">
        <v>571</v>
      </c>
      <c r="H1248" t="s">
        <v>571</v>
      </c>
      <c r="I1248" t="s">
        <v>30</v>
      </c>
      <c r="J1248" t="s">
        <v>4002</v>
      </c>
      <c r="K1248" t="str">
        <f>"5"</f>
        <v>5</v>
      </c>
      <c r="L1248" t="str">
        <f>""</f>
        <v/>
      </c>
      <c r="M1248" t="str">
        <f>"81-657"</f>
        <v>81-657</v>
      </c>
      <c r="N1248" t="str">
        <f>"503113975"</f>
        <v>503113975</v>
      </c>
      <c r="O1248" t="s">
        <v>4003</v>
      </c>
      <c r="P1248" t="s">
        <v>24</v>
      </c>
    </row>
    <row r="1249" spans="1:16" hidden="1" x14ac:dyDescent="0.25">
      <c r="A1249">
        <v>129791</v>
      </c>
      <c r="B1249" t="str">
        <f>"362902216"</f>
        <v>362902216</v>
      </c>
      <c r="C1249" t="s">
        <v>16</v>
      </c>
      <c r="D1249" t="s">
        <v>4004</v>
      </c>
      <c r="E1249" t="s">
        <v>18</v>
      </c>
      <c r="F1249" t="s">
        <v>19</v>
      </c>
      <c r="G1249" t="s">
        <v>20</v>
      </c>
      <c r="H1249" t="s">
        <v>20</v>
      </c>
      <c r="I1249" t="s">
        <v>21</v>
      </c>
      <c r="J1249" t="s">
        <v>4005</v>
      </c>
      <c r="K1249" t="str">
        <f>"5"</f>
        <v>5</v>
      </c>
      <c r="L1249" t="str">
        <f>"22"</f>
        <v>22</v>
      </c>
      <c r="M1249" t="str">
        <f>"02-791"</f>
        <v>02-791</v>
      </c>
      <c r="N1249" t="str">
        <f>"226486175"</f>
        <v>226486175</v>
      </c>
      <c r="P1249" t="s">
        <v>24</v>
      </c>
    </row>
    <row r="1250" spans="1:16" hidden="1" x14ac:dyDescent="0.25">
      <c r="A1250">
        <v>91551</v>
      </c>
      <c r="B1250" t="str">
        <f>"061496048"</f>
        <v>061496048</v>
      </c>
      <c r="C1250" t="s">
        <v>16</v>
      </c>
      <c r="D1250" t="s">
        <v>4006</v>
      </c>
      <c r="E1250" t="s">
        <v>112</v>
      </c>
      <c r="F1250" t="s">
        <v>113</v>
      </c>
      <c r="G1250" t="s">
        <v>113</v>
      </c>
      <c r="H1250" t="s">
        <v>113</v>
      </c>
      <c r="I1250" t="s">
        <v>30</v>
      </c>
      <c r="J1250" t="s">
        <v>4007</v>
      </c>
      <c r="K1250" t="str">
        <f>"7"</f>
        <v>7</v>
      </c>
      <c r="L1250" t="str">
        <f>"9"</f>
        <v>9</v>
      </c>
      <c r="M1250" t="str">
        <f>"20-209"</f>
        <v>20-209</v>
      </c>
      <c r="N1250" t="str">
        <f>"817493220"</f>
        <v>817493220</v>
      </c>
      <c r="O1250" t="s">
        <v>4008</v>
      </c>
      <c r="P1250" t="s">
        <v>24</v>
      </c>
    </row>
    <row r="1251" spans="1:16" x14ac:dyDescent="0.25">
      <c r="A1251" s="2">
        <v>7648</v>
      </c>
      <c r="B1251" s="2" t="str">
        <f>"152073343"</f>
        <v>152073343</v>
      </c>
      <c r="C1251" s="2" t="s">
        <v>16</v>
      </c>
      <c r="D1251" s="2" t="s">
        <v>4009</v>
      </c>
      <c r="E1251" s="2" t="s">
        <v>117</v>
      </c>
      <c r="F1251" s="2" t="s">
        <v>4010</v>
      </c>
      <c r="G1251" s="2" t="s">
        <v>4011</v>
      </c>
      <c r="H1251" s="2" t="s">
        <v>4011</v>
      </c>
      <c r="I1251" s="2" t="s">
        <v>30</v>
      </c>
      <c r="J1251" s="2" t="s">
        <v>2252</v>
      </c>
      <c r="K1251" s="2" t="str">
        <f>"9"</f>
        <v>9</v>
      </c>
      <c r="L1251" s="2" t="str">
        <f>""</f>
        <v/>
      </c>
      <c r="M1251" s="2" t="str">
        <f>"42-700"</f>
        <v>42-700</v>
      </c>
      <c r="N1251" s="2" t="str">
        <f>"343562966"</f>
        <v>343562966</v>
      </c>
      <c r="O1251" s="2" t="s">
        <v>4012</v>
      </c>
      <c r="P1251" s="2" t="s">
        <v>121</v>
      </c>
    </row>
    <row r="1252" spans="1:16" x14ac:dyDescent="0.25">
      <c r="A1252" s="2">
        <v>23032</v>
      </c>
      <c r="B1252" s="2" t="str">
        <f>"000715970"</f>
        <v>000715970</v>
      </c>
      <c r="C1252" s="2" t="s">
        <v>16</v>
      </c>
      <c r="D1252" s="2" t="s">
        <v>4013</v>
      </c>
      <c r="E1252" s="2" t="s">
        <v>117</v>
      </c>
      <c r="F1252" s="2" t="s">
        <v>902</v>
      </c>
      <c r="G1252" s="2" t="s">
        <v>4014</v>
      </c>
      <c r="H1252" s="2" t="s">
        <v>4014</v>
      </c>
      <c r="I1252" s="2" t="s">
        <v>30</v>
      </c>
      <c r="J1252" s="2" t="s">
        <v>4015</v>
      </c>
      <c r="K1252" s="2" t="str">
        <f>"8"</f>
        <v>8</v>
      </c>
      <c r="L1252" s="2" t="str">
        <f>""</f>
        <v/>
      </c>
      <c r="M1252" s="2" t="str">
        <f>"42-230"</f>
        <v>42-230</v>
      </c>
      <c r="N1252" s="2" t="str">
        <f>"343551673"</f>
        <v>343551673</v>
      </c>
      <c r="O1252" s="2" t="s">
        <v>4016</v>
      </c>
      <c r="P1252" s="2" t="s">
        <v>121</v>
      </c>
    </row>
    <row r="1253" spans="1:16" x14ac:dyDescent="0.25">
      <c r="A1253" s="2">
        <v>32061</v>
      </c>
      <c r="B1253" s="2" t="str">
        <f>"230919825"</f>
        <v>230919825</v>
      </c>
      <c r="C1253" s="2" t="s">
        <v>16</v>
      </c>
      <c r="D1253" s="2" t="s">
        <v>4017</v>
      </c>
      <c r="E1253" s="2" t="s">
        <v>64</v>
      </c>
      <c r="F1253" s="2" t="s">
        <v>4018</v>
      </c>
      <c r="G1253" s="2" t="s">
        <v>4019</v>
      </c>
      <c r="H1253" s="2" t="s">
        <v>4019</v>
      </c>
      <c r="I1253" s="2" t="s">
        <v>30</v>
      </c>
      <c r="J1253" s="2" t="s">
        <v>2275</v>
      </c>
      <c r="K1253" s="2" t="str">
        <f>"5"</f>
        <v>5</v>
      </c>
      <c r="L1253" s="2" t="str">
        <f>""</f>
        <v/>
      </c>
      <c r="M1253" s="2" t="str">
        <f>"58-530"</f>
        <v>58-530</v>
      </c>
      <c r="N1253" s="2" t="str">
        <f>"0757182572"</f>
        <v>0757182572</v>
      </c>
      <c r="O1253" s="2" t="s">
        <v>4020</v>
      </c>
      <c r="P1253" s="2" t="s">
        <v>121</v>
      </c>
    </row>
    <row r="1254" spans="1:16" x14ac:dyDescent="0.25">
      <c r="A1254" s="2">
        <v>77616</v>
      </c>
      <c r="B1254" s="2" t="str">
        <f>"230891848"</f>
        <v>230891848</v>
      </c>
      <c r="C1254" s="2" t="s">
        <v>16</v>
      </c>
      <c r="D1254" s="2" t="s">
        <v>4022</v>
      </c>
      <c r="E1254" s="2" t="s">
        <v>64</v>
      </c>
      <c r="F1254" s="2" t="s">
        <v>4018</v>
      </c>
      <c r="G1254" s="2" t="s">
        <v>4023</v>
      </c>
      <c r="H1254" s="2" t="s">
        <v>4023</v>
      </c>
      <c r="I1254" s="2" t="s">
        <v>30</v>
      </c>
      <c r="J1254" s="2" t="s">
        <v>1403</v>
      </c>
      <c r="K1254" s="2" t="str">
        <f>"29"</f>
        <v>29</v>
      </c>
      <c r="L1254" s="2" t="str">
        <f>""</f>
        <v/>
      </c>
      <c r="M1254" s="2" t="str">
        <f>"58-580"</f>
        <v>58-580</v>
      </c>
      <c r="N1254" s="2" t="str">
        <f>"0757172467"</f>
        <v>0757172467</v>
      </c>
      <c r="O1254" s="2" t="s">
        <v>4024</v>
      </c>
      <c r="P1254" s="2" t="s">
        <v>121</v>
      </c>
    </row>
    <row r="1255" spans="1:16" x14ac:dyDescent="0.25">
      <c r="A1255" s="2">
        <v>131717</v>
      </c>
      <c r="B1255" s="2" t="str">
        <f>"365338911"</f>
        <v>365338911</v>
      </c>
      <c r="C1255" s="2" t="s">
        <v>16</v>
      </c>
      <c r="D1255" s="2" t="s">
        <v>4025</v>
      </c>
      <c r="E1255" s="2" t="s">
        <v>18</v>
      </c>
      <c r="F1255" s="2" t="s">
        <v>451</v>
      </c>
      <c r="G1255" s="2" t="s">
        <v>880</v>
      </c>
      <c r="H1255" s="2" t="s">
        <v>880</v>
      </c>
      <c r="I1255" s="2" t="s">
        <v>30</v>
      </c>
      <c r="J1255" s="2" t="s">
        <v>2892</v>
      </c>
      <c r="K1255" s="2" t="str">
        <f>"62A"</f>
        <v>62A</v>
      </c>
      <c r="L1255" s="2" t="str">
        <f>""</f>
        <v/>
      </c>
      <c r="M1255" s="2" t="str">
        <f>"05-091"</f>
        <v>05-091</v>
      </c>
      <c r="N1255" s="2" t="str">
        <f>"224088080"</f>
        <v>224088080</v>
      </c>
      <c r="O1255" s="2"/>
      <c r="P1255" s="2" t="s">
        <v>121</v>
      </c>
    </row>
    <row r="1256" spans="1:16" x14ac:dyDescent="0.25">
      <c r="A1256" s="2">
        <v>70959</v>
      </c>
      <c r="B1256" s="2" t="str">
        <f>"000743327"</f>
        <v>000743327</v>
      </c>
      <c r="C1256" s="2" t="s">
        <v>16</v>
      </c>
      <c r="D1256" s="2" t="s">
        <v>4026</v>
      </c>
      <c r="E1256" s="2" t="s">
        <v>416</v>
      </c>
      <c r="F1256" s="2" t="s">
        <v>4027</v>
      </c>
      <c r="G1256" s="2" t="s">
        <v>4028</v>
      </c>
      <c r="H1256" s="2" t="s">
        <v>4028</v>
      </c>
      <c r="I1256" s="2" t="s">
        <v>30</v>
      </c>
      <c r="J1256" s="2" t="s">
        <v>4029</v>
      </c>
      <c r="K1256" s="2" t="str">
        <f>"4"</f>
        <v>4</v>
      </c>
      <c r="L1256" s="2" t="str">
        <f>""</f>
        <v/>
      </c>
      <c r="M1256" s="2" t="str">
        <f>"47-200"</f>
        <v>47-200</v>
      </c>
      <c r="N1256" s="2" t="str">
        <f>"774821226"</f>
        <v>774821226</v>
      </c>
      <c r="O1256" s="2" t="s">
        <v>4030</v>
      </c>
      <c r="P1256" s="2" t="s">
        <v>121</v>
      </c>
    </row>
    <row r="1257" spans="1:16" x14ac:dyDescent="0.25">
      <c r="A1257" s="2">
        <v>47212</v>
      </c>
      <c r="B1257" s="2" t="str">
        <f>"712352340"</f>
        <v>712352340</v>
      </c>
      <c r="C1257" s="2" t="s">
        <v>16</v>
      </c>
      <c r="D1257" s="2" t="s">
        <v>4026</v>
      </c>
      <c r="E1257" s="2" t="s">
        <v>18</v>
      </c>
      <c r="F1257" s="2" t="s">
        <v>512</v>
      </c>
      <c r="G1257" s="2" t="s">
        <v>513</v>
      </c>
      <c r="H1257" s="2" t="s">
        <v>513</v>
      </c>
      <c r="I1257" s="2" t="s">
        <v>30</v>
      </c>
      <c r="J1257" s="2" t="s">
        <v>4031</v>
      </c>
      <c r="K1257" s="2" t="str">
        <f>"24A"</f>
        <v>24A</v>
      </c>
      <c r="L1257" s="2" t="str">
        <f>""</f>
        <v/>
      </c>
      <c r="M1257" s="2" t="str">
        <f>"08-300"</f>
        <v>08-300</v>
      </c>
      <c r="N1257" s="2" t="str">
        <f>"257812239"</f>
        <v>257812239</v>
      </c>
      <c r="O1257" s="2" t="s">
        <v>4032</v>
      </c>
      <c r="P1257" s="2" t="s">
        <v>121</v>
      </c>
    </row>
    <row r="1258" spans="1:16" x14ac:dyDescent="0.25">
      <c r="A1258" s="2">
        <v>480507</v>
      </c>
      <c r="B1258" s="2" t="str">
        <f>"526112157"</f>
        <v>526112157</v>
      </c>
      <c r="C1258" s="2" t="s">
        <v>16</v>
      </c>
      <c r="D1258" s="2" t="s">
        <v>4033</v>
      </c>
      <c r="E1258" s="2" t="s">
        <v>117</v>
      </c>
      <c r="F1258" s="2" t="s">
        <v>177</v>
      </c>
      <c r="G1258" s="2" t="s">
        <v>599</v>
      </c>
      <c r="H1258" s="2" t="s">
        <v>599</v>
      </c>
      <c r="I1258" s="2" t="s">
        <v>30</v>
      </c>
      <c r="J1258" s="2" t="s">
        <v>4034</v>
      </c>
      <c r="K1258" s="2" t="str">
        <f>"64"</f>
        <v>64</v>
      </c>
      <c r="L1258" s="2" t="str">
        <f>""</f>
        <v/>
      </c>
      <c r="M1258" s="2" t="str">
        <f>"43-400"</f>
        <v>43-400</v>
      </c>
      <c r="N1258" s="2" t="str">
        <f>"697697947"</f>
        <v>697697947</v>
      </c>
      <c r="O1258" s="2" t="s">
        <v>4035</v>
      </c>
      <c r="P1258" s="2" t="s">
        <v>121</v>
      </c>
    </row>
    <row r="1259" spans="1:16" x14ac:dyDescent="0.25">
      <c r="A1259" s="2">
        <v>480628</v>
      </c>
      <c r="B1259" s="2" t="str">
        <f>"526275445"</f>
        <v>526275445</v>
      </c>
      <c r="C1259" s="2" t="s">
        <v>16</v>
      </c>
      <c r="D1259" s="2" t="s">
        <v>4036</v>
      </c>
      <c r="E1259" s="2" t="s">
        <v>18</v>
      </c>
      <c r="F1259" s="2" t="s">
        <v>19</v>
      </c>
      <c r="G1259" s="2" t="s">
        <v>149</v>
      </c>
      <c r="H1259" s="2" t="s">
        <v>149</v>
      </c>
      <c r="I1259" s="2" t="s">
        <v>21</v>
      </c>
      <c r="J1259" s="2" t="s">
        <v>150</v>
      </c>
      <c r="K1259" s="2" t="str">
        <f>"9"</f>
        <v>9</v>
      </c>
      <c r="L1259" s="2" t="str">
        <f>"TU3"</f>
        <v>TU3</v>
      </c>
      <c r="M1259" s="2" t="str">
        <f>"03-287"</f>
        <v>03-287</v>
      </c>
      <c r="N1259" s="2" t="str">
        <f>"505999048"</f>
        <v>505999048</v>
      </c>
      <c r="O1259" s="2" t="s">
        <v>151</v>
      </c>
      <c r="P1259" s="2" t="s">
        <v>121</v>
      </c>
    </row>
    <row r="1260" spans="1:16" x14ac:dyDescent="0.25">
      <c r="A1260" s="2">
        <v>268560</v>
      </c>
      <c r="B1260" s="2" t="str">
        <f>"381201832"</f>
        <v>381201832</v>
      </c>
      <c r="C1260" s="2" t="s">
        <v>16</v>
      </c>
      <c r="D1260" s="2" t="s">
        <v>4037</v>
      </c>
      <c r="E1260" s="2" t="s">
        <v>181</v>
      </c>
      <c r="F1260" s="2" t="s">
        <v>1800</v>
      </c>
      <c r="G1260" s="2" t="s">
        <v>1800</v>
      </c>
      <c r="H1260" s="2" t="s">
        <v>1800</v>
      </c>
      <c r="I1260" s="2" t="s">
        <v>30</v>
      </c>
      <c r="J1260" s="2" t="s">
        <v>1801</v>
      </c>
      <c r="K1260" s="2" t="str">
        <f>"102"</f>
        <v>102</v>
      </c>
      <c r="L1260" s="2" t="str">
        <f>""</f>
        <v/>
      </c>
      <c r="M1260" s="2" t="str">
        <f>"86-300"</f>
        <v>86-300</v>
      </c>
      <c r="N1260" s="2" t="str">
        <f>"791871464"</f>
        <v>791871464</v>
      </c>
      <c r="O1260" s="2" t="s">
        <v>4038</v>
      </c>
      <c r="P1260" s="2" t="s">
        <v>121</v>
      </c>
    </row>
    <row r="1261" spans="1:16" x14ac:dyDescent="0.25">
      <c r="A1261" s="2">
        <v>55279</v>
      </c>
      <c r="B1261" s="2" t="str">
        <f>"001310553"</f>
        <v>001310553</v>
      </c>
      <c r="C1261" s="2" t="s">
        <v>16</v>
      </c>
      <c r="D1261" s="2" t="s">
        <v>4039</v>
      </c>
      <c r="E1261" s="2" t="s">
        <v>117</v>
      </c>
      <c r="F1261" s="2" t="s">
        <v>118</v>
      </c>
      <c r="G1261" s="2" t="s">
        <v>118</v>
      </c>
      <c r="H1261" s="2" t="s">
        <v>118</v>
      </c>
      <c r="I1261" s="2" t="s">
        <v>30</v>
      </c>
      <c r="J1261" s="2" t="s">
        <v>4040</v>
      </c>
      <c r="K1261" s="2" t="str">
        <f>"5"</f>
        <v>5</v>
      </c>
      <c r="L1261" s="2" t="str">
        <f>""</f>
        <v/>
      </c>
      <c r="M1261" s="2" t="str">
        <f>"42-224"</f>
        <v>42-224</v>
      </c>
      <c r="N1261" s="2" t="str">
        <f>"343622424"</f>
        <v>343622424</v>
      </c>
      <c r="O1261" s="2" t="s">
        <v>120</v>
      </c>
      <c r="P1261" s="2" t="s">
        <v>121</v>
      </c>
    </row>
    <row r="1262" spans="1:16" x14ac:dyDescent="0.25">
      <c r="A1262" s="2">
        <v>55438</v>
      </c>
      <c r="B1262" s="2" t="str">
        <f>"000715940"</f>
        <v>000715940</v>
      </c>
      <c r="C1262" s="2" t="s">
        <v>16</v>
      </c>
      <c r="D1262" s="2" t="s">
        <v>4041</v>
      </c>
      <c r="E1262" s="2" t="s">
        <v>117</v>
      </c>
      <c r="F1262" s="2" t="s">
        <v>118</v>
      </c>
      <c r="G1262" s="2" t="s">
        <v>118</v>
      </c>
      <c r="H1262" s="2" t="s">
        <v>118</v>
      </c>
      <c r="I1262" s="2" t="s">
        <v>30</v>
      </c>
      <c r="J1262" s="2" t="s">
        <v>4042</v>
      </c>
      <c r="K1262" s="2" t="str">
        <f>"40"</f>
        <v>40</v>
      </c>
      <c r="L1262" s="2" t="str">
        <f>""</f>
        <v/>
      </c>
      <c r="M1262" s="2" t="str">
        <f>"42-216"</f>
        <v>42-216</v>
      </c>
      <c r="N1262" s="2" t="str">
        <f>"343632832"</f>
        <v>343632832</v>
      </c>
      <c r="O1262" s="2" t="s">
        <v>120</v>
      </c>
      <c r="P1262" s="2" t="s">
        <v>121</v>
      </c>
    </row>
    <row r="1263" spans="1:16" x14ac:dyDescent="0.25">
      <c r="A1263" s="2">
        <v>54124</v>
      </c>
      <c r="B1263" s="2" t="str">
        <f>"000708160"</f>
        <v>000708160</v>
      </c>
      <c r="C1263" s="2" t="s">
        <v>16</v>
      </c>
      <c r="D1263" s="2" t="s">
        <v>4043</v>
      </c>
      <c r="E1263" s="2" t="s">
        <v>64</v>
      </c>
      <c r="F1263" s="2" t="s">
        <v>4021</v>
      </c>
      <c r="G1263" s="2" t="s">
        <v>4021</v>
      </c>
      <c r="H1263" s="2" t="s">
        <v>4021</v>
      </c>
      <c r="I1263" s="2" t="s">
        <v>30</v>
      </c>
      <c r="J1263" s="2" t="s">
        <v>514</v>
      </c>
      <c r="K1263" s="2" t="str">
        <f>"259"</f>
        <v>259</v>
      </c>
      <c r="L1263" s="2" t="str">
        <f>""</f>
        <v/>
      </c>
      <c r="M1263" s="2" t="str">
        <f>"58-560"</f>
        <v>58-560</v>
      </c>
      <c r="N1263" s="2" t="str">
        <f>"756473001"</f>
        <v>756473001</v>
      </c>
      <c r="O1263" s="2" t="s">
        <v>4044</v>
      </c>
      <c r="P1263" s="2" t="s">
        <v>121</v>
      </c>
    </row>
    <row r="1264" spans="1:16" x14ac:dyDescent="0.25">
      <c r="A1264" s="2">
        <v>20668</v>
      </c>
      <c r="B1264" s="2" t="str">
        <f>"000715992"</f>
        <v>000715992</v>
      </c>
      <c r="C1264" s="2" t="s">
        <v>16</v>
      </c>
      <c r="D1264" s="2" t="s">
        <v>4045</v>
      </c>
      <c r="E1264" s="2" t="s">
        <v>117</v>
      </c>
      <c r="F1264" s="2" t="s">
        <v>1112</v>
      </c>
      <c r="G1264" s="2" t="s">
        <v>1113</v>
      </c>
      <c r="H1264" s="2" t="s">
        <v>1113</v>
      </c>
      <c r="I1264" s="2" t="s">
        <v>30</v>
      </c>
      <c r="J1264" s="2" t="s">
        <v>1193</v>
      </c>
      <c r="K1264" s="2" t="str">
        <f>"21"</f>
        <v>21</v>
      </c>
      <c r="L1264" s="2" t="str">
        <f>""</f>
        <v/>
      </c>
      <c r="M1264" s="2" t="str">
        <f>"42-300"</f>
        <v>42-300</v>
      </c>
      <c r="N1264" s="2" t="str">
        <f>"343130367"</f>
        <v>343130367</v>
      </c>
      <c r="O1264" s="2" t="s">
        <v>4046</v>
      </c>
      <c r="P1264" s="2" t="s">
        <v>121</v>
      </c>
    </row>
    <row r="1265" spans="1:16" x14ac:dyDescent="0.25">
      <c r="A1265" s="2">
        <v>111757</v>
      </c>
      <c r="B1265" s="2" t="str">
        <f>"000716000"</f>
        <v>000716000</v>
      </c>
      <c r="C1265" s="2" t="s">
        <v>16</v>
      </c>
      <c r="D1265" s="2" t="s">
        <v>4047</v>
      </c>
      <c r="E1265" s="2" t="s">
        <v>416</v>
      </c>
      <c r="F1265" s="2" t="s">
        <v>4048</v>
      </c>
      <c r="G1265" s="2" t="s">
        <v>4049</v>
      </c>
      <c r="H1265" s="2" t="s">
        <v>4049</v>
      </c>
      <c r="I1265" s="2" t="s">
        <v>30</v>
      </c>
      <c r="J1265" s="2" t="s">
        <v>4050</v>
      </c>
      <c r="K1265" s="2" t="str">
        <f>"3"</f>
        <v>3</v>
      </c>
      <c r="L1265" s="2" t="str">
        <f>""</f>
        <v/>
      </c>
      <c r="M1265" s="2" t="str">
        <f>"46-300"</f>
        <v>46-300</v>
      </c>
      <c r="N1265" s="2" t="str">
        <f>"343582874"</f>
        <v>343582874</v>
      </c>
      <c r="O1265" s="2" t="s">
        <v>4051</v>
      </c>
      <c r="P1265" s="2" t="s">
        <v>121</v>
      </c>
    </row>
    <row r="1266" spans="1:16" x14ac:dyDescent="0.25">
      <c r="A1266" s="2">
        <v>40165</v>
      </c>
      <c r="B1266" s="2" t="str">
        <f>"292696200"</f>
        <v>292696200</v>
      </c>
      <c r="C1266" s="2" t="s">
        <v>16</v>
      </c>
      <c r="D1266" s="2" t="s">
        <v>4052</v>
      </c>
      <c r="E1266" s="2" t="s">
        <v>74</v>
      </c>
      <c r="F1266" s="2" t="s">
        <v>4053</v>
      </c>
      <c r="G1266" s="2" t="s">
        <v>4054</v>
      </c>
      <c r="H1266" s="2" t="s">
        <v>4054</v>
      </c>
      <c r="I1266" s="2" t="s">
        <v>30</v>
      </c>
      <c r="J1266" s="2" t="s">
        <v>57</v>
      </c>
      <c r="K1266" s="2" t="str">
        <f>"1"</f>
        <v>1</v>
      </c>
      <c r="L1266" s="2" t="str">
        <f>""</f>
        <v/>
      </c>
      <c r="M1266" s="2" t="str">
        <f>"28-200"</f>
        <v>28-200</v>
      </c>
      <c r="N1266" s="2" t="str">
        <f>"158643759"</f>
        <v>158643759</v>
      </c>
      <c r="O1266" s="2" t="s">
        <v>4055</v>
      </c>
      <c r="P1266" s="2" t="s">
        <v>121</v>
      </c>
    </row>
    <row r="1267" spans="1:16" x14ac:dyDescent="0.25">
      <c r="A1267" s="2">
        <v>268393</v>
      </c>
      <c r="B1267" s="2" t="str">
        <f>"381135673"</f>
        <v>381135673</v>
      </c>
      <c r="C1267" s="2" t="s">
        <v>16</v>
      </c>
      <c r="D1267" s="2" t="s">
        <v>4056</v>
      </c>
      <c r="E1267" s="2" t="s">
        <v>39</v>
      </c>
      <c r="F1267" s="2" t="s">
        <v>3550</v>
      </c>
      <c r="G1267" s="2" t="s">
        <v>3551</v>
      </c>
      <c r="H1267" s="2" t="s">
        <v>3551</v>
      </c>
      <c r="I1267" s="2" t="s">
        <v>30</v>
      </c>
      <c r="J1267" s="2" t="s">
        <v>4057</v>
      </c>
      <c r="K1267" s="2" t="str">
        <f>"3"</f>
        <v>3</v>
      </c>
      <c r="L1267" s="2" t="str">
        <f>"3"</f>
        <v>3</v>
      </c>
      <c r="M1267" s="2" t="str">
        <f>"97-500"</f>
        <v>97-500</v>
      </c>
      <c r="N1267" s="2" t="str">
        <f>"794352676"</f>
        <v>794352676</v>
      </c>
      <c r="O1267" s="2" t="s">
        <v>4058</v>
      </c>
      <c r="P1267" s="2" t="s">
        <v>121</v>
      </c>
    </row>
    <row r="1268" spans="1:16" x14ac:dyDescent="0.25">
      <c r="A1268" s="2">
        <v>268007</v>
      </c>
      <c r="B1268" s="2" t="str">
        <f>"380849784"</f>
        <v>380849784</v>
      </c>
      <c r="C1268" s="2" t="s">
        <v>25</v>
      </c>
      <c r="D1268" s="2" t="s">
        <v>4059</v>
      </c>
      <c r="E1268" s="2" t="s">
        <v>117</v>
      </c>
      <c r="F1268" s="2" t="s">
        <v>958</v>
      </c>
      <c r="G1268" s="2" t="s">
        <v>958</v>
      </c>
      <c r="H1268" s="2" t="s">
        <v>958</v>
      </c>
      <c r="I1268" s="2" t="s">
        <v>30</v>
      </c>
      <c r="J1268" s="2" t="s">
        <v>238</v>
      </c>
      <c r="K1268" s="2" t="str">
        <f>"13a"</f>
        <v>13a</v>
      </c>
      <c r="L1268" s="2" t="str">
        <f>""</f>
        <v/>
      </c>
      <c r="M1268" s="2" t="str">
        <f>"44-330"</f>
        <v>44-330</v>
      </c>
      <c r="N1268" s="2" t="str">
        <f>"324761025"</f>
        <v>324761025</v>
      </c>
      <c r="O1268" s="2" t="s">
        <v>4060</v>
      </c>
      <c r="P1268" s="2" t="s">
        <v>121</v>
      </c>
    </row>
    <row r="1269" spans="1:16" x14ac:dyDescent="0.25">
      <c r="A1269" s="2">
        <v>267088</v>
      </c>
      <c r="B1269" s="2" t="str">
        <f>"369897866"</f>
        <v>369897866</v>
      </c>
      <c r="C1269" s="2" t="s">
        <v>16</v>
      </c>
      <c r="D1269" s="2" t="s">
        <v>4061</v>
      </c>
      <c r="E1269" s="2" t="s">
        <v>416</v>
      </c>
      <c r="F1269" s="2" t="s">
        <v>417</v>
      </c>
      <c r="G1269" s="2" t="s">
        <v>417</v>
      </c>
      <c r="H1269" s="2" t="s">
        <v>417</v>
      </c>
      <c r="I1269" s="2" t="s">
        <v>30</v>
      </c>
      <c r="J1269" s="2" t="s">
        <v>1557</v>
      </c>
      <c r="K1269" s="2" t="str">
        <f>"10 A"</f>
        <v>10 A</v>
      </c>
      <c r="L1269" s="2" t="str">
        <f>""</f>
        <v/>
      </c>
      <c r="M1269" s="2" t="str">
        <f>"45-715"</f>
        <v>45-715</v>
      </c>
      <c r="N1269" s="2" t="str">
        <f>"669472410"</f>
        <v>669472410</v>
      </c>
      <c r="O1269" s="2"/>
      <c r="P1269" s="2" t="s">
        <v>121</v>
      </c>
    </row>
    <row r="1270" spans="1:16" x14ac:dyDescent="0.25">
      <c r="A1270" s="2">
        <v>267977</v>
      </c>
      <c r="B1270" s="2" t="str">
        <f>"380857536"</f>
        <v>380857536</v>
      </c>
      <c r="C1270" s="2" t="s">
        <v>25</v>
      </c>
      <c r="D1270" s="2" t="s">
        <v>4062</v>
      </c>
      <c r="E1270" s="2" t="s">
        <v>117</v>
      </c>
      <c r="F1270" s="2" t="s">
        <v>967</v>
      </c>
      <c r="G1270" s="2" t="s">
        <v>967</v>
      </c>
      <c r="H1270" s="2" t="s">
        <v>967</v>
      </c>
      <c r="I1270" s="2" t="s">
        <v>30</v>
      </c>
      <c r="J1270" s="2" t="s">
        <v>2085</v>
      </c>
      <c r="K1270" s="2" t="str">
        <f>"1"</f>
        <v>1</v>
      </c>
      <c r="L1270" s="2" t="str">
        <f>""</f>
        <v/>
      </c>
      <c r="M1270" s="2" t="str">
        <f>"41-300"</f>
        <v>41-300</v>
      </c>
      <c r="N1270" s="2" t="str">
        <f>"660069497"</f>
        <v>660069497</v>
      </c>
      <c r="O1270" s="2" t="s">
        <v>2086</v>
      </c>
      <c r="P1270" s="2" t="s">
        <v>121</v>
      </c>
    </row>
    <row r="1271" spans="1:16" x14ac:dyDescent="0.25">
      <c r="A1271" s="2">
        <v>267376</v>
      </c>
      <c r="B1271" s="2" t="str">
        <f>"380232687"</f>
        <v>380232687</v>
      </c>
      <c r="C1271" s="2" t="s">
        <v>16</v>
      </c>
      <c r="D1271" s="2" t="s">
        <v>4063</v>
      </c>
      <c r="E1271" s="2" t="s">
        <v>117</v>
      </c>
      <c r="F1271" s="2" t="s">
        <v>118</v>
      </c>
      <c r="G1271" s="2" t="s">
        <v>118</v>
      </c>
      <c r="H1271" s="2" t="s">
        <v>118</v>
      </c>
      <c r="I1271" s="2" t="s">
        <v>30</v>
      </c>
      <c r="J1271" s="2" t="s">
        <v>441</v>
      </c>
      <c r="K1271" s="2" t="str">
        <f>"44"</f>
        <v>44</v>
      </c>
      <c r="L1271" s="2" t="str">
        <f>""</f>
        <v/>
      </c>
      <c r="M1271" s="2" t="str">
        <f>"42-207"</f>
        <v>42-207</v>
      </c>
      <c r="N1271" s="2" t="str">
        <f>"608371277"</f>
        <v>608371277</v>
      </c>
      <c r="O1271" s="2" t="s">
        <v>4064</v>
      </c>
      <c r="P1271" s="2" t="s">
        <v>121</v>
      </c>
    </row>
    <row r="1272" spans="1:16" x14ac:dyDescent="0.25">
      <c r="A1272" s="2">
        <v>274101</v>
      </c>
      <c r="B1272" s="2" t="str">
        <f>"385200918"</f>
        <v>385200918</v>
      </c>
      <c r="C1272" s="2" t="s">
        <v>25</v>
      </c>
      <c r="D1272" s="2" t="s">
        <v>4065</v>
      </c>
      <c r="E1272" s="2" t="s">
        <v>117</v>
      </c>
      <c r="F1272" s="2" t="s">
        <v>382</v>
      </c>
      <c r="G1272" s="2" t="s">
        <v>382</v>
      </c>
      <c r="H1272" s="2" t="s">
        <v>382</v>
      </c>
      <c r="I1272" s="2" t="s">
        <v>30</v>
      </c>
      <c r="J1272" s="2" t="s">
        <v>2084</v>
      </c>
      <c r="K1272" s="2" t="str">
        <f>"2"</f>
        <v>2</v>
      </c>
      <c r="L1272" s="2" t="str">
        <f>""</f>
        <v/>
      </c>
      <c r="M1272" s="2" t="str">
        <f>"40-668"</f>
        <v>40-668</v>
      </c>
      <c r="N1272" s="2" t="str">
        <f>"664981828"</f>
        <v>664981828</v>
      </c>
      <c r="O1272" s="2" t="s">
        <v>4066</v>
      </c>
      <c r="P1272" s="2" t="s">
        <v>121</v>
      </c>
    </row>
    <row r="1273" spans="1:16" hidden="1" x14ac:dyDescent="0.25">
      <c r="A1273">
        <v>88736</v>
      </c>
      <c r="B1273" t="str">
        <f>"221782129"</f>
        <v>221782129</v>
      </c>
      <c r="C1273" t="s">
        <v>16</v>
      </c>
      <c r="D1273" t="s">
        <v>4067</v>
      </c>
      <c r="E1273" t="s">
        <v>80</v>
      </c>
      <c r="F1273" t="s">
        <v>571</v>
      </c>
      <c r="G1273" t="s">
        <v>571</v>
      </c>
      <c r="H1273" t="s">
        <v>571</v>
      </c>
      <c r="I1273" t="s">
        <v>30</v>
      </c>
      <c r="J1273" t="s">
        <v>1033</v>
      </c>
      <c r="K1273" t="str">
        <f>"15"</f>
        <v>15</v>
      </c>
      <c r="L1273" t="str">
        <f>""</f>
        <v/>
      </c>
      <c r="M1273" t="str">
        <f>"81-616"</f>
        <v>81-616</v>
      </c>
      <c r="N1273" t="str">
        <f>"586240509"</f>
        <v>586240509</v>
      </c>
      <c r="O1273" t="s">
        <v>4068</v>
      </c>
      <c r="P1273" t="s">
        <v>24</v>
      </c>
    </row>
    <row r="1274" spans="1:16" hidden="1" x14ac:dyDescent="0.25">
      <c r="A1274">
        <v>276322</v>
      </c>
      <c r="B1274" t="str">
        <f>"387092150"</f>
        <v>387092150</v>
      </c>
      <c r="C1274" t="s">
        <v>16</v>
      </c>
      <c r="D1274" t="s">
        <v>4069</v>
      </c>
      <c r="E1274" t="s">
        <v>117</v>
      </c>
      <c r="F1274" t="s">
        <v>213</v>
      </c>
      <c r="G1274" t="s">
        <v>213</v>
      </c>
      <c r="H1274" t="s">
        <v>213</v>
      </c>
      <c r="I1274" t="s">
        <v>30</v>
      </c>
      <c r="J1274" t="s">
        <v>4070</v>
      </c>
      <c r="K1274" t="str">
        <f>"2e"</f>
        <v>2e</v>
      </c>
      <c r="L1274" t="str">
        <f>"1u"</f>
        <v>1u</v>
      </c>
      <c r="M1274" t="str">
        <f>"44-121"</f>
        <v>44-121</v>
      </c>
      <c r="N1274" t="str">
        <f>"574420791"</f>
        <v>574420791</v>
      </c>
      <c r="O1274" t="s">
        <v>4071</v>
      </c>
      <c r="P1274" t="s">
        <v>24</v>
      </c>
    </row>
    <row r="1275" spans="1:16" hidden="1" x14ac:dyDescent="0.25">
      <c r="A1275">
        <v>278792</v>
      </c>
      <c r="B1275" t="str">
        <f>"520069644"</f>
        <v>520069644</v>
      </c>
      <c r="C1275" t="s">
        <v>16</v>
      </c>
      <c r="D1275" t="s">
        <v>4072</v>
      </c>
      <c r="E1275" t="s">
        <v>39</v>
      </c>
      <c r="F1275" t="s">
        <v>711</v>
      </c>
      <c r="G1275" t="s">
        <v>712</v>
      </c>
      <c r="H1275" t="s">
        <v>712</v>
      </c>
      <c r="I1275" t="s">
        <v>30</v>
      </c>
      <c r="J1275" t="s">
        <v>628</v>
      </c>
      <c r="K1275" t="str">
        <f>"20"</f>
        <v>20</v>
      </c>
      <c r="L1275" t="str">
        <f>"2.08"</f>
        <v>2.08</v>
      </c>
      <c r="M1275" t="str">
        <f>"95-070"</f>
        <v>95-070</v>
      </c>
      <c r="N1275" t="str">
        <f>"795176415"</f>
        <v>795176415</v>
      </c>
      <c r="O1275" t="s">
        <v>4073</v>
      </c>
      <c r="P1275" t="s">
        <v>24</v>
      </c>
    </row>
    <row r="1276" spans="1:16" hidden="1" x14ac:dyDescent="0.25">
      <c r="A1276">
        <v>125469</v>
      </c>
      <c r="B1276" t="str">
        <f>"147447520"</f>
        <v>147447520</v>
      </c>
      <c r="C1276" t="s">
        <v>16</v>
      </c>
      <c r="D1276" t="s">
        <v>4074</v>
      </c>
      <c r="E1276" t="s">
        <v>18</v>
      </c>
      <c r="F1276" t="s">
        <v>502</v>
      </c>
      <c r="G1276" t="s">
        <v>502</v>
      </c>
      <c r="H1276" t="s">
        <v>502</v>
      </c>
      <c r="I1276" t="s">
        <v>30</v>
      </c>
      <c r="J1276" t="s">
        <v>2312</v>
      </c>
      <c r="K1276" t="str">
        <f>"12"</f>
        <v>12</v>
      </c>
      <c r="L1276" t="str">
        <f>""</f>
        <v/>
      </c>
      <c r="M1276" t="str">
        <f>"26-600"</f>
        <v>26-600</v>
      </c>
      <c r="N1276" t="str">
        <f>"608012567"</f>
        <v>608012567</v>
      </c>
      <c r="O1276" t="s">
        <v>4075</v>
      </c>
      <c r="P1276" t="s">
        <v>24</v>
      </c>
    </row>
    <row r="1277" spans="1:16" hidden="1" x14ac:dyDescent="0.25">
      <c r="A1277">
        <v>269249</v>
      </c>
      <c r="B1277" t="str">
        <f>"381411305"</f>
        <v>381411305</v>
      </c>
      <c r="C1277" t="s">
        <v>16</v>
      </c>
      <c r="D1277" t="s">
        <v>4076</v>
      </c>
      <c r="E1277" t="s">
        <v>34</v>
      </c>
      <c r="F1277" t="s">
        <v>218</v>
      </c>
      <c r="G1277" t="s">
        <v>219</v>
      </c>
      <c r="H1277" t="s">
        <v>219</v>
      </c>
      <c r="I1277" t="s">
        <v>30</v>
      </c>
      <c r="J1277" t="s">
        <v>4077</v>
      </c>
      <c r="K1277" t="str">
        <f>"1"</f>
        <v>1</v>
      </c>
      <c r="L1277" t="str">
        <f>""</f>
        <v/>
      </c>
      <c r="M1277" t="str">
        <f>"73-110"</f>
        <v>73-110</v>
      </c>
      <c r="N1277" t="str">
        <f>"0505877100"</f>
        <v>0505877100</v>
      </c>
      <c r="O1277" t="s">
        <v>4078</v>
      </c>
      <c r="P1277" t="s">
        <v>24</v>
      </c>
    </row>
    <row r="1278" spans="1:16" hidden="1" x14ac:dyDescent="0.25">
      <c r="A1278">
        <v>132616</v>
      </c>
      <c r="B1278" t="str">
        <f>"365925146"</f>
        <v>365925146</v>
      </c>
      <c r="C1278" t="s">
        <v>25</v>
      </c>
      <c r="D1278" t="s">
        <v>4079</v>
      </c>
      <c r="E1278" t="s">
        <v>117</v>
      </c>
      <c r="F1278" t="s">
        <v>892</v>
      </c>
      <c r="G1278" t="s">
        <v>892</v>
      </c>
      <c r="H1278" t="s">
        <v>892</v>
      </c>
      <c r="I1278" t="s">
        <v>30</v>
      </c>
      <c r="J1278" t="s">
        <v>4080</v>
      </c>
      <c r="K1278" t="str">
        <f>"4"</f>
        <v>4</v>
      </c>
      <c r="L1278" t="str">
        <f>""</f>
        <v/>
      </c>
      <c r="M1278" t="str">
        <f>"41-103"</f>
        <v>41-103</v>
      </c>
      <c r="N1278" t="str">
        <f>"731194440"</f>
        <v>731194440</v>
      </c>
      <c r="O1278" t="s">
        <v>4081</v>
      </c>
      <c r="P1278" t="s">
        <v>24</v>
      </c>
    </row>
    <row r="1279" spans="1:16" hidden="1" x14ac:dyDescent="0.25">
      <c r="A1279">
        <v>276229</v>
      </c>
      <c r="B1279" t="str">
        <f>"387045557"</f>
        <v>387045557</v>
      </c>
      <c r="C1279" t="s">
        <v>16</v>
      </c>
      <c r="D1279" t="s">
        <v>4082</v>
      </c>
      <c r="E1279" t="s">
        <v>18</v>
      </c>
      <c r="F1279" t="s">
        <v>1505</v>
      </c>
      <c r="G1279" t="s">
        <v>2584</v>
      </c>
      <c r="H1279" t="s">
        <v>2584</v>
      </c>
      <c r="I1279" t="s">
        <v>30</v>
      </c>
      <c r="J1279" t="s">
        <v>4083</v>
      </c>
      <c r="K1279" t="str">
        <f>"3"</f>
        <v>3</v>
      </c>
      <c r="L1279" t="str">
        <f>"18"</f>
        <v>18</v>
      </c>
      <c r="M1279" t="str">
        <f>"05-101"</f>
        <v>05-101</v>
      </c>
      <c r="N1279" t="str">
        <f>"790370850"</f>
        <v>790370850</v>
      </c>
      <c r="O1279" t="s">
        <v>4084</v>
      </c>
      <c r="P1279" t="s">
        <v>24</v>
      </c>
    </row>
    <row r="1280" spans="1:16" hidden="1" x14ac:dyDescent="0.25">
      <c r="A1280">
        <v>122671</v>
      </c>
      <c r="B1280" t="str">
        <f>"161581220"</f>
        <v>161581220</v>
      </c>
      <c r="C1280" t="s">
        <v>16</v>
      </c>
      <c r="D1280" t="s">
        <v>4085</v>
      </c>
      <c r="E1280" t="s">
        <v>416</v>
      </c>
      <c r="F1280" t="s">
        <v>2095</v>
      </c>
      <c r="G1280" t="s">
        <v>2096</v>
      </c>
      <c r="H1280" t="s">
        <v>2096</v>
      </c>
      <c r="I1280" t="s">
        <v>30</v>
      </c>
      <c r="J1280" t="s">
        <v>4086</v>
      </c>
      <c r="K1280" t="str">
        <f>"14"</f>
        <v>14</v>
      </c>
      <c r="L1280" t="str">
        <f>""</f>
        <v/>
      </c>
      <c r="M1280" t="str">
        <f>"48-303"</f>
        <v>48-303</v>
      </c>
      <c r="N1280" t="str">
        <f>"602767926"</f>
        <v>602767926</v>
      </c>
      <c r="O1280" t="s">
        <v>4087</v>
      </c>
      <c r="P1280" t="s">
        <v>24</v>
      </c>
    </row>
    <row r="1281" spans="1:16" hidden="1" x14ac:dyDescent="0.25">
      <c r="A1281">
        <v>70864</v>
      </c>
      <c r="B1281" t="str">
        <f>"122698470"</f>
        <v>122698470</v>
      </c>
      <c r="C1281" t="s">
        <v>25</v>
      </c>
      <c r="D1281" t="s">
        <v>4088</v>
      </c>
      <c r="E1281" t="s">
        <v>27</v>
      </c>
      <c r="F1281" t="s">
        <v>123</v>
      </c>
      <c r="G1281" t="s">
        <v>141</v>
      </c>
      <c r="H1281" t="s">
        <v>141</v>
      </c>
      <c r="I1281" t="s">
        <v>42</v>
      </c>
      <c r="J1281" t="s">
        <v>4089</v>
      </c>
      <c r="K1281" t="str">
        <f>"7"</f>
        <v>7</v>
      </c>
      <c r="L1281" t="str">
        <f>""</f>
        <v/>
      </c>
      <c r="M1281" t="str">
        <f>"30-053"</f>
        <v>30-053</v>
      </c>
      <c r="N1281" t="str">
        <f>"602485391"</f>
        <v>602485391</v>
      </c>
      <c r="O1281" t="s">
        <v>4090</v>
      </c>
      <c r="P1281" t="s">
        <v>24</v>
      </c>
    </row>
    <row r="1282" spans="1:16" hidden="1" x14ac:dyDescent="0.25">
      <c r="A1282">
        <v>49927</v>
      </c>
      <c r="B1282" t="str">
        <f>"146367954"</f>
        <v>146367954</v>
      </c>
      <c r="C1282" t="s">
        <v>16</v>
      </c>
      <c r="D1282" t="s">
        <v>4091</v>
      </c>
      <c r="E1282" t="s">
        <v>18</v>
      </c>
      <c r="F1282" t="s">
        <v>19</v>
      </c>
      <c r="G1282" t="s">
        <v>89</v>
      </c>
      <c r="H1282" t="s">
        <v>89</v>
      </c>
      <c r="I1282" t="s">
        <v>21</v>
      </c>
      <c r="J1282" t="s">
        <v>4092</v>
      </c>
      <c r="K1282" t="str">
        <f>"86"</f>
        <v>86</v>
      </c>
      <c r="L1282" t="str">
        <f>""</f>
        <v/>
      </c>
      <c r="M1282" t="str">
        <f>"02-495"</f>
        <v>02-495</v>
      </c>
      <c r="N1282" t="str">
        <f>"600633888"</f>
        <v>600633888</v>
      </c>
      <c r="O1282" t="s">
        <v>4093</v>
      </c>
      <c r="P1282" t="s">
        <v>24</v>
      </c>
    </row>
    <row r="1283" spans="1:16" x14ac:dyDescent="0.25">
      <c r="A1283" s="2">
        <v>14788</v>
      </c>
      <c r="B1283" s="2" t="str">
        <f>"006744368"</f>
        <v>006744368</v>
      </c>
      <c r="C1283" s="2" t="s">
        <v>25</v>
      </c>
      <c r="D1283" s="2" t="s">
        <v>4094</v>
      </c>
      <c r="E1283" s="2" t="s">
        <v>18</v>
      </c>
      <c r="F1283" s="2" t="s">
        <v>19</v>
      </c>
      <c r="G1283" s="2" t="s">
        <v>886</v>
      </c>
      <c r="H1283" s="2" t="s">
        <v>886</v>
      </c>
      <c r="I1283" s="2" t="s">
        <v>21</v>
      </c>
      <c r="J1283" s="2" t="s">
        <v>701</v>
      </c>
      <c r="K1283" s="2" t="str">
        <f>"56"</f>
        <v>56</v>
      </c>
      <c r="L1283" s="2" t="str">
        <f>""</f>
        <v/>
      </c>
      <c r="M1283" s="2" t="str">
        <f>"02-520"</f>
        <v>02-520</v>
      </c>
      <c r="N1283" s="2" t="str">
        <f>"228263916"</f>
        <v>228263916</v>
      </c>
      <c r="O1283" s="2" t="s">
        <v>4095</v>
      </c>
      <c r="P1283" s="2" t="s">
        <v>121</v>
      </c>
    </row>
    <row r="1284" spans="1:16" x14ac:dyDescent="0.25">
      <c r="A1284" s="2">
        <v>14030</v>
      </c>
      <c r="B1284" s="2" t="str">
        <f>"005710350"</f>
        <v>005710350</v>
      </c>
      <c r="C1284" s="2" t="s">
        <v>25</v>
      </c>
      <c r="D1284" s="2" t="s">
        <v>4096</v>
      </c>
      <c r="E1284" s="2" t="s">
        <v>27</v>
      </c>
      <c r="F1284" s="2" t="s">
        <v>187</v>
      </c>
      <c r="G1284" s="2" t="s">
        <v>187</v>
      </c>
      <c r="H1284" s="2" t="s">
        <v>187</v>
      </c>
      <c r="I1284" s="2" t="s">
        <v>30</v>
      </c>
      <c r="J1284" s="2" t="s">
        <v>4097</v>
      </c>
      <c r="K1284" s="2" t="str">
        <f>"25"</f>
        <v>25</v>
      </c>
      <c r="L1284" s="2" t="str">
        <f>""</f>
        <v/>
      </c>
      <c r="M1284" s="2" t="str">
        <f>"33-100"</f>
        <v>33-100</v>
      </c>
      <c r="N1284" s="2" t="str">
        <f>"146222796"</f>
        <v>146222796</v>
      </c>
      <c r="O1284" s="2" t="s">
        <v>4098</v>
      </c>
      <c r="P1284" s="2" t="s">
        <v>121</v>
      </c>
    </row>
    <row r="1285" spans="1:16" hidden="1" x14ac:dyDescent="0.25">
      <c r="A1285">
        <v>481229</v>
      </c>
      <c r="B1285" t="str">
        <f>"526640755"</f>
        <v>526640755</v>
      </c>
      <c r="C1285" t="s">
        <v>16</v>
      </c>
      <c r="D1285" t="s">
        <v>4099</v>
      </c>
      <c r="E1285" t="s">
        <v>18</v>
      </c>
      <c r="F1285" t="s">
        <v>106</v>
      </c>
      <c r="G1285" t="s">
        <v>107</v>
      </c>
      <c r="H1285" t="s">
        <v>107</v>
      </c>
      <c r="I1285" t="s">
        <v>30</v>
      </c>
      <c r="J1285" t="s">
        <v>2312</v>
      </c>
      <c r="K1285" t="str">
        <f>"14"</f>
        <v>14</v>
      </c>
      <c r="L1285" t="str">
        <f>""</f>
        <v/>
      </c>
      <c r="M1285" t="str">
        <f>"05-502"</f>
        <v>05-502</v>
      </c>
      <c r="N1285" t="str">
        <f>"603412738"</f>
        <v>603412738</v>
      </c>
      <c r="O1285" t="s">
        <v>4100</v>
      </c>
      <c r="P1285" t="s">
        <v>24</v>
      </c>
    </row>
    <row r="1286" spans="1:16" hidden="1" x14ac:dyDescent="0.25">
      <c r="A1286">
        <v>278310</v>
      </c>
      <c r="B1286" t="str">
        <f>"389858081"</f>
        <v>389858081</v>
      </c>
      <c r="C1286" t="s">
        <v>16</v>
      </c>
      <c r="D1286" t="s">
        <v>4101</v>
      </c>
      <c r="E1286" t="s">
        <v>18</v>
      </c>
      <c r="F1286" t="s">
        <v>502</v>
      </c>
      <c r="G1286" t="s">
        <v>502</v>
      </c>
      <c r="H1286" t="s">
        <v>502</v>
      </c>
      <c r="I1286" t="s">
        <v>30</v>
      </c>
      <c r="J1286" t="s">
        <v>544</v>
      </c>
      <c r="K1286" t="str">
        <f>"30F"</f>
        <v>30F</v>
      </c>
      <c r="L1286" t="str">
        <f>""</f>
        <v/>
      </c>
      <c r="M1286" t="str">
        <f>"26-600"</f>
        <v>26-600</v>
      </c>
      <c r="N1286" t="str">
        <f>"509057823"</f>
        <v>509057823</v>
      </c>
      <c r="O1286" t="s">
        <v>4102</v>
      </c>
      <c r="P1286" t="s">
        <v>24</v>
      </c>
    </row>
    <row r="1287" spans="1:16" x14ac:dyDescent="0.25">
      <c r="A1287" s="2">
        <v>9399</v>
      </c>
      <c r="B1287" s="2" t="str">
        <f>"000195529"</f>
        <v>000195529</v>
      </c>
      <c r="C1287" s="2" t="s">
        <v>25</v>
      </c>
      <c r="D1287" s="2" t="s">
        <v>4101</v>
      </c>
      <c r="E1287" s="2" t="s">
        <v>117</v>
      </c>
      <c r="F1287" s="2" t="s">
        <v>382</v>
      </c>
      <c r="G1287" s="2" t="s">
        <v>382</v>
      </c>
      <c r="H1287" s="2" t="s">
        <v>382</v>
      </c>
      <c r="I1287" s="2" t="s">
        <v>30</v>
      </c>
      <c r="J1287" s="2" t="s">
        <v>3995</v>
      </c>
      <c r="K1287" s="2" t="str">
        <f>"26"</f>
        <v>26</v>
      </c>
      <c r="L1287" s="2" t="str">
        <f>""</f>
        <v/>
      </c>
      <c r="M1287" s="2" t="str">
        <f>"40-086"</f>
        <v>40-086</v>
      </c>
      <c r="N1287" s="2" t="str">
        <f>"322599586"</f>
        <v>322599586</v>
      </c>
      <c r="O1287" s="2" t="s">
        <v>4103</v>
      </c>
      <c r="P1287" s="2" t="s">
        <v>121</v>
      </c>
    </row>
    <row r="1288" spans="1:16" hidden="1" x14ac:dyDescent="0.25">
      <c r="A1288">
        <v>126681</v>
      </c>
      <c r="B1288" t="str">
        <f>"360604070"</f>
        <v>360604070</v>
      </c>
      <c r="C1288" t="s">
        <v>25</v>
      </c>
      <c r="D1288" t="s">
        <v>4101</v>
      </c>
      <c r="E1288" t="s">
        <v>18</v>
      </c>
      <c r="F1288" t="s">
        <v>19</v>
      </c>
      <c r="G1288" t="s">
        <v>886</v>
      </c>
      <c r="H1288" t="s">
        <v>886</v>
      </c>
      <c r="I1288" t="s">
        <v>21</v>
      </c>
      <c r="J1288" t="s">
        <v>4104</v>
      </c>
      <c r="K1288" t="str">
        <f>"15"</f>
        <v>15</v>
      </c>
      <c r="L1288" t="str">
        <f>"100"</f>
        <v>100</v>
      </c>
      <c r="M1288" t="str">
        <f>"02-625"</f>
        <v>02-625</v>
      </c>
      <c r="N1288" t="str">
        <f>"228479541"</f>
        <v>228479541</v>
      </c>
      <c r="O1288" t="s">
        <v>4105</v>
      </c>
      <c r="P1288" t="s">
        <v>24</v>
      </c>
    </row>
    <row r="1289" spans="1:16" hidden="1" x14ac:dyDescent="0.25">
      <c r="A1289">
        <v>79036</v>
      </c>
      <c r="B1289" t="str">
        <f>"221776962"</f>
        <v>221776962</v>
      </c>
      <c r="C1289" t="s">
        <v>25</v>
      </c>
      <c r="D1289" t="s">
        <v>4106</v>
      </c>
      <c r="E1289" t="s">
        <v>80</v>
      </c>
      <c r="F1289" t="s">
        <v>339</v>
      </c>
      <c r="G1289" t="s">
        <v>339</v>
      </c>
      <c r="H1289" t="s">
        <v>339</v>
      </c>
      <c r="I1289" t="s">
        <v>30</v>
      </c>
      <c r="J1289" t="s">
        <v>4107</v>
      </c>
      <c r="K1289" t="str">
        <f>"5A"</f>
        <v>5A</v>
      </c>
      <c r="L1289" t="str">
        <f>"1"</f>
        <v>1</v>
      </c>
      <c r="M1289" t="str">
        <f>"80-239"</f>
        <v>80-239</v>
      </c>
      <c r="N1289" t="str">
        <f>"583403829"</f>
        <v>583403829</v>
      </c>
      <c r="O1289" t="s">
        <v>4108</v>
      </c>
      <c r="P1289" t="s">
        <v>24</v>
      </c>
    </row>
    <row r="1290" spans="1:16" x14ac:dyDescent="0.25">
      <c r="A1290" s="2">
        <v>25508</v>
      </c>
      <c r="B1290" s="2" t="str">
        <f>"350646780"</f>
        <v>350646780</v>
      </c>
      <c r="C1290" s="2" t="s">
        <v>25</v>
      </c>
      <c r="D1290" s="2" t="s">
        <v>4109</v>
      </c>
      <c r="E1290" s="2" t="s">
        <v>27</v>
      </c>
      <c r="F1290" s="2" t="s">
        <v>123</v>
      </c>
      <c r="G1290" s="2" t="s">
        <v>281</v>
      </c>
      <c r="H1290" s="2" t="s">
        <v>281</v>
      </c>
      <c r="I1290" s="2" t="s">
        <v>42</v>
      </c>
      <c r="J1290" s="2" t="s">
        <v>4110</v>
      </c>
      <c r="K1290" s="2" t="str">
        <f>"23a"</f>
        <v>23a</v>
      </c>
      <c r="L1290" s="2" t="str">
        <f>""</f>
        <v/>
      </c>
      <c r="M1290" s="2" t="str">
        <f>"31-148"</f>
        <v>31-148</v>
      </c>
      <c r="N1290" s="2" t="str">
        <f>"124221858"</f>
        <v>124221858</v>
      </c>
      <c r="O1290" s="2" t="s">
        <v>4111</v>
      </c>
      <c r="P1290" s="2" t="s">
        <v>121</v>
      </c>
    </row>
    <row r="1291" spans="1:16" hidden="1" x14ac:dyDescent="0.25">
      <c r="A1291">
        <v>264262</v>
      </c>
      <c r="B1291" t="str">
        <f>"368296633"</f>
        <v>368296633</v>
      </c>
      <c r="C1291" t="s">
        <v>16</v>
      </c>
      <c r="D1291" t="s">
        <v>4112</v>
      </c>
      <c r="E1291" t="s">
        <v>18</v>
      </c>
      <c r="F1291" t="s">
        <v>974</v>
      </c>
      <c r="G1291" t="s">
        <v>975</v>
      </c>
      <c r="H1291" t="s">
        <v>975</v>
      </c>
      <c r="I1291" t="s">
        <v>30</v>
      </c>
      <c r="J1291" t="s">
        <v>138</v>
      </c>
      <c r="K1291" t="str">
        <f>"23"</f>
        <v>23</v>
      </c>
      <c r="L1291" t="str">
        <f>""</f>
        <v/>
      </c>
      <c r="M1291" t="str">
        <f>"07-100"</f>
        <v>07-100</v>
      </c>
      <c r="N1291" t="str">
        <f>"257920161"</f>
        <v>257920161</v>
      </c>
      <c r="O1291" t="s">
        <v>4113</v>
      </c>
      <c r="P1291" t="s">
        <v>24</v>
      </c>
    </row>
    <row r="1292" spans="1:16" x14ac:dyDescent="0.25">
      <c r="A1292" s="2">
        <v>14792</v>
      </c>
      <c r="B1292" s="2" t="str">
        <f>"000683683"</f>
        <v>000683683</v>
      </c>
      <c r="C1292" s="2" t="s">
        <v>25</v>
      </c>
      <c r="D1292" s="2" t="s">
        <v>4114</v>
      </c>
      <c r="E1292" s="2" t="s">
        <v>18</v>
      </c>
      <c r="F1292" s="2" t="s">
        <v>19</v>
      </c>
      <c r="G1292" s="2" t="s">
        <v>19</v>
      </c>
      <c r="H1292" s="2" t="s">
        <v>19</v>
      </c>
      <c r="I1292" s="2" t="s">
        <v>30</v>
      </c>
      <c r="J1292" s="2" t="s">
        <v>4115</v>
      </c>
      <c r="K1292" s="2" t="str">
        <f>"8/10"</f>
        <v>8/10</v>
      </c>
      <c r="L1292" s="2" t="str">
        <f>""</f>
        <v/>
      </c>
      <c r="M1292" s="2" t="str">
        <f>"02-026"</f>
        <v>02-026</v>
      </c>
      <c r="N1292" s="2" t="str">
        <f>"228227717"</f>
        <v>228227717</v>
      </c>
      <c r="O1292" s="2" t="s">
        <v>4116</v>
      </c>
      <c r="P1292" s="2" t="s">
        <v>121</v>
      </c>
    </row>
    <row r="1293" spans="1:16" x14ac:dyDescent="0.25">
      <c r="A1293" s="2">
        <v>14793</v>
      </c>
      <c r="B1293" s="2" t="str">
        <f>"012562421"</f>
        <v>012562421</v>
      </c>
      <c r="C1293" s="2" t="s">
        <v>25</v>
      </c>
      <c r="D1293" s="2" t="s">
        <v>4117</v>
      </c>
      <c r="E1293" s="2" t="s">
        <v>18</v>
      </c>
      <c r="F1293" s="2" t="s">
        <v>19</v>
      </c>
      <c r="G1293" s="2" t="s">
        <v>905</v>
      </c>
      <c r="H1293" s="2" t="s">
        <v>905</v>
      </c>
      <c r="I1293" s="2" t="s">
        <v>21</v>
      </c>
      <c r="J1293" s="2" t="s">
        <v>2930</v>
      </c>
      <c r="K1293" s="2" t="str">
        <f>"53 A"</f>
        <v>53 A</v>
      </c>
      <c r="L1293" s="2" t="str">
        <f>""</f>
        <v/>
      </c>
      <c r="M1293" s="2" t="str">
        <f>"01-197"</f>
        <v>01-197</v>
      </c>
      <c r="N1293" s="2" t="str">
        <f>"228227168"</f>
        <v>228227168</v>
      </c>
      <c r="O1293" s="2" t="s">
        <v>4118</v>
      </c>
      <c r="P1293" s="2" t="s">
        <v>121</v>
      </c>
    </row>
    <row r="1294" spans="1:16" x14ac:dyDescent="0.25">
      <c r="A1294" s="2">
        <v>70577</v>
      </c>
      <c r="B1294" s="2" t="str">
        <f>"000705663"</f>
        <v>000705663</v>
      </c>
      <c r="C1294" s="2" t="s">
        <v>16</v>
      </c>
      <c r="D1294" s="2" t="s">
        <v>4119</v>
      </c>
      <c r="E1294" s="2" t="s">
        <v>27</v>
      </c>
      <c r="F1294" s="2" t="s">
        <v>1892</v>
      </c>
      <c r="G1294" s="2" t="s">
        <v>4120</v>
      </c>
      <c r="H1294" s="2" t="s">
        <v>4120</v>
      </c>
      <c r="I1294" s="2" t="s">
        <v>30</v>
      </c>
      <c r="J1294" s="2" t="s">
        <v>188</v>
      </c>
      <c r="K1294" s="2" t="str">
        <f>"10"</f>
        <v>10</v>
      </c>
      <c r="L1294" s="2" t="str">
        <f>""</f>
        <v/>
      </c>
      <c r="M1294" s="2" t="str">
        <f>"32-050"</f>
        <v>32-050</v>
      </c>
      <c r="N1294" s="2" t="str">
        <f>"122763840"</f>
        <v>122763840</v>
      </c>
      <c r="O1294" s="2" t="s">
        <v>4121</v>
      </c>
      <c r="P1294" s="2" t="s">
        <v>121</v>
      </c>
    </row>
    <row r="1295" spans="1:16" x14ac:dyDescent="0.25">
      <c r="A1295" s="2">
        <v>86655</v>
      </c>
      <c r="B1295" s="2" t="str">
        <f>"050182640"</f>
        <v>050182640</v>
      </c>
      <c r="C1295" s="2" t="s">
        <v>25</v>
      </c>
      <c r="D1295" s="2" t="s">
        <v>4122</v>
      </c>
      <c r="E1295" s="2" t="s">
        <v>97</v>
      </c>
      <c r="F1295" s="2" t="s">
        <v>98</v>
      </c>
      <c r="G1295" s="2" t="s">
        <v>98</v>
      </c>
      <c r="H1295" s="2" t="s">
        <v>98</v>
      </c>
      <c r="I1295" s="2" t="s">
        <v>30</v>
      </c>
      <c r="J1295" s="2" t="s">
        <v>138</v>
      </c>
      <c r="K1295" s="2" t="str">
        <f>"31/2"</f>
        <v>31/2</v>
      </c>
      <c r="L1295" s="2" t="str">
        <f>""</f>
        <v/>
      </c>
      <c r="M1295" s="2" t="str">
        <f>"15-213"</f>
        <v>15-213</v>
      </c>
      <c r="N1295" s="2" t="str">
        <f>"857328666"</f>
        <v>857328666</v>
      </c>
      <c r="O1295" s="2" t="s">
        <v>4123</v>
      </c>
      <c r="P1295" s="2" t="s">
        <v>121</v>
      </c>
    </row>
    <row r="1296" spans="1:16" x14ac:dyDescent="0.25">
      <c r="A1296" s="2">
        <v>133742</v>
      </c>
      <c r="B1296" s="2" t="str">
        <f>"367583520"</f>
        <v>367583520</v>
      </c>
      <c r="C1296" s="2" t="s">
        <v>16</v>
      </c>
      <c r="D1296" s="2" t="s">
        <v>4124</v>
      </c>
      <c r="E1296" s="2" t="s">
        <v>97</v>
      </c>
      <c r="F1296" s="2" t="s">
        <v>98</v>
      </c>
      <c r="G1296" s="2" t="s">
        <v>98</v>
      </c>
      <c r="H1296" s="2" t="s">
        <v>98</v>
      </c>
      <c r="I1296" s="2" t="s">
        <v>30</v>
      </c>
      <c r="J1296" s="2" t="s">
        <v>1384</v>
      </c>
      <c r="K1296" s="2" t="str">
        <f>"12"</f>
        <v>12</v>
      </c>
      <c r="L1296" s="2" t="str">
        <f>""</f>
        <v/>
      </c>
      <c r="M1296" s="2" t="str">
        <f>"15-349"</f>
        <v>15-349</v>
      </c>
      <c r="N1296" s="2" t="str">
        <f>"607503423"</f>
        <v>607503423</v>
      </c>
      <c r="O1296" s="2" t="s">
        <v>505</v>
      </c>
      <c r="P1296" s="2" t="s">
        <v>121</v>
      </c>
    </row>
    <row r="1297" spans="1:16" x14ac:dyDescent="0.25">
      <c r="A1297" s="2">
        <v>21293</v>
      </c>
      <c r="B1297" s="2" t="str">
        <f>"000193921"</f>
        <v>000193921</v>
      </c>
      <c r="C1297" s="2" t="s">
        <v>25</v>
      </c>
      <c r="D1297" s="2" t="s">
        <v>4125</v>
      </c>
      <c r="E1297" s="2" t="s">
        <v>27</v>
      </c>
      <c r="F1297" s="2" t="s">
        <v>123</v>
      </c>
      <c r="G1297" s="2" t="s">
        <v>281</v>
      </c>
      <c r="H1297" s="2" t="s">
        <v>281</v>
      </c>
      <c r="I1297" s="2" t="s">
        <v>42</v>
      </c>
      <c r="J1297" s="2" t="s">
        <v>4126</v>
      </c>
      <c r="K1297" s="2" t="str">
        <f>"2"</f>
        <v>2</v>
      </c>
      <c r="L1297" s="2" t="str">
        <f>""</f>
        <v/>
      </c>
      <c r="M1297" s="2" t="str">
        <f>"31-046"</f>
        <v>31-046</v>
      </c>
      <c r="N1297" s="2" t="str">
        <f>"124224383"</f>
        <v>124224383</v>
      </c>
      <c r="O1297" s="2" t="s">
        <v>4127</v>
      </c>
      <c r="P1297" s="2" t="s">
        <v>121</v>
      </c>
    </row>
    <row r="1298" spans="1:16" hidden="1" x14ac:dyDescent="0.25">
      <c r="A1298">
        <v>126381</v>
      </c>
      <c r="B1298" t="str">
        <f>"360282778"</f>
        <v>360282778</v>
      </c>
      <c r="C1298" t="s">
        <v>16</v>
      </c>
      <c r="D1298" t="s">
        <v>4128</v>
      </c>
      <c r="E1298" t="s">
        <v>18</v>
      </c>
      <c r="F1298" t="s">
        <v>19</v>
      </c>
      <c r="G1298" t="s">
        <v>1299</v>
      </c>
      <c r="H1298" t="s">
        <v>1299</v>
      </c>
      <c r="I1298" t="s">
        <v>21</v>
      </c>
      <c r="J1298" t="s">
        <v>4129</v>
      </c>
      <c r="K1298" t="str">
        <f>"2"</f>
        <v>2</v>
      </c>
      <c r="L1298" t="str">
        <f>""</f>
        <v/>
      </c>
      <c r="M1298" t="str">
        <f>"05-077"</f>
        <v>05-077</v>
      </c>
      <c r="N1298" t="str">
        <f>"601346801"</f>
        <v>601346801</v>
      </c>
      <c r="O1298" t="s">
        <v>4130</v>
      </c>
      <c r="P1298" t="s">
        <v>24</v>
      </c>
    </row>
    <row r="1299" spans="1:16" x14ac:dyDescent="0.25">
      <c r="A1299" s="2">
        <v>27753</v>
      </c>
      <c r="B1299" s="2" t="str">
        <f>"471015407"</f>
        <v>471015407</v>
      </c>
      <c r="C1299" s="2" t="s">
        <v>16</v>
      </c>
      <c r="D1299" s="2" t="s">
        <v>4131</v>
      </c>
      <c r="E1299" s="2" t="s">
        <v>39</v>
      </c>
      <c r="F1299" s="2" t="s">
        <v>40</v>
      </c>
      <c r="G1299" s="2" t="s">
        <v>248</v>
      </c>
      <c r="H1299" s="2" t="s">
        <v>248</v>
      </c>
      <c r="I1299" s="2" t="s">
        <v>42</v>
      </c>
      <c r="J1299" s="2" t="s">
        <v>4132</v>
      </c>
      <c r="K1299" s="2" t="str">
        <f>"86"</f>
        <v>86</v>
      </c>
      <c r="L1299" s="2" t="str">
        <f>""</f>
        <v/>
      </c>
      <c r="M1299" s="2" t="str">
        <f>"94-050"</f>
        <v>94-050</v>
      </c>
      <c r="N1299" s="2" t="str">
        <f>"426881668"</f>
        <v>426881668</v>
      </c>
      <c r="O1299" s="2" t="s">
        <v>4133</v>
      </c>
      <c r="P1299" s="2" t="s">
        <v>121</v>
      </c>
    </row>
    <row r="1300" spans="1:16" x14ac:dyDescent="0.25">
      <c r="A1300" s="2">
        <v>27920</v>
      </c>
      <c r="B1300" s="2" t="str">
        <f>"000192809"</f>
        <v>000192809</v>
      </c>
      <c r="C1300" s="2" t="s">
        <v>25</v>
      </c>
      <c r="D1300" s="2" t="s">
        <v>4134</v>
      </c>
      <c r="E1300" s="2" t="s">
        <v>39</v>
      </c>
      <c r="F1300" s="2" t="s">
        <v>40</v>
      </c>
      <c r="G1300" s="2" t="s">
        <v>248</v>
      </c>
      <c r="H1300" s="2" t="s">
        <v>248</v>
      </c>
      <c r="I1300" s="2" t="s">
        <v>42</v>
      </c>
      <c r="J1300" s="2" t="s">
        <v>4132</v>
      </c>
      <c r="K1300" s="2" t="str">
        <f>"86"</f>
        <v>86</v>
      </c>
      <c r="L1300" s="2" t="str">
        <f>""</f>
        <v/>
      </c>
      <c r="M1300" s="2" t="str">
        <f>"94-050"</f>
        <v>94-050</v>
      </c>
      <c r="N1300" s="2" t="str">
        <f>"426882070"</f>
        <v>426882070</v>
      </c>
      <c r="O1300" s="2" t="s">
        <v>4135</v>
      </c>
      <c r="P1300" s="2" t="s">
        <v>121</v>
      </c>
    </row>
    <row r="1301" spans="1:16" hidden="1" x14ac:dyDescent="0.25">
      <c r="A1301">
        <v>115497</v>
      </c>
      <c r="B1301" t="str">
        <f>"122894483"</f>
        <v>122894483</v>
      </c>
      <c r="C1301" t="s">
        <v>16</v>
      </c>
      <c r="D1301" t="s">
        <v>4136</v>
      </c>
      <c r="E1301" t="s">
        <v>27</v>
      </c>
      <c r="F1301" t="s">
        <v>1242</v>
      </c>
      <c r="G1301" t="s">
        <v>1243</v>
      </c>
      <c r="H1301" t="s">
        <v>1243</v>
      </c>
      <c r="I1301" t="s">
        <v>30</v>
      </c>
      <c r="J1301" t="s">
        <v>1114</v>
      </c>
      <c r="K1301" t="str">
        <f>"10"</f>
        <v>10</v>
      </c>
      <c r="L1301" t="str">
        <f>""</f>
        <v/>
      </c>
      <c r="M1301" t="str">
        <f>"38-300"</f>
        <v>38-300</v>
      </c>
      <c r="N1301" t="str">
        <f>"502469633"</f>
        <v>502469633</v>
      </c>
      <c r="O1301" t="s">
        <v>4137</v>
      </c>
      <c r="P1301" t="s">
        <v>24</v>
      </c>
    </row>
    <row r="1302" spans="1:16" x14ac:dyDescent="0.25">
      <c r="A1302" s="2">
        <v>25506</v>
      </c>
      <c r="B1302" s="2" t="str">
        <f>"351197918"</f>
        <v>351197918</v>
      </c>
      <c r="C1302" s="2" t="s">
        <v>25</v>
      </c>
      <c r="D1302" s="2" t="s">
        <v>4138</v>
      </c>
      <c r="E1302" s="2" t="s">
        <v>27</v>
      </c>
      <c r="F1302" s="2" t="s">
        <v>123</v>
      </c>
      <c r="G1302" s="2" t="s">
        <v>124</v>
      </c>
      <c r="H1302" s="2" t="s">
        <v>124</v>
      </c>
      <c r="I1302" s="2" t="s">
        <v>42</v>
      </c>
      <c r="J1302" s="2" t="s">
        <v>4139</v>
      </c>
      <c r="K1302" s="2" t="str">
        <f>"17"</f>
        <v>17</v>
      </c>
      <c r="L1302" s="2" t="str">
        <f>""</f>
        <v/>
      </c>
      <c r="M1302" s="2" t="str">
        <f>"30-818"</f>
        <v>30-818</v>
      </c>
      <c r="N1302" s="2" t="str">
        <f>"126328773"</f>
        <v>126328773</v>
      </c>
      <c r="O1302" s="2" t="s">
        <v>4140</v>
      </c>
      <c r="P1302" s="2" t="s">
        <v>121</v>
      </c>
    </row>
    <row r="1303" spans="1:16" x14ac:dyDescent="0.25">
      <c r="A1303" s="2">
        <v>18163</v>
      </c>
      <c r="B1303" s="2" t="str">
        <f>"000705717"</f>
        <v>000705717</v>
      </c>
      <c r="C1303" s="2" t="s">
        <v>16</v>
      </c>
      <c r="D1303" s="2" t="s">
        <v>4141</v>
      </c>
      <c r="E1303" s="2" t="s">
        <v>27</v>
      </c>
      <c r="F1303" s="2" t="s">
        <v>123</v>
      </c>
      <c r="G1303" s="2" t="s">
        <v>278</v>
      </c>
      <c r="H1303" s="2" t="s">
        <v>278</v>
      </c>
      <c r="I1303" s="2" t="s">
        <v>42</v>
      </c>
      <c r="J1303" s="2" t="s">
        <v>4142</v>
      </c>
      <c r="K1303" s="2" t="str">
        <f>"41a"</f>
        <v>41a</v>
      </c>
      <c r="L1303" s="2" t="str">
        <f>""</f>
        <v/>
      </c>
      <c r="M1303" s="2" t="str">
        <f>"31-831"</f>
        <v>31-831</v>
      </c>
      <c r="N1303" s="2" t="str">
        <f>"124222712"</f>
        <v>124222712</v>
      </c>
      <c r="O1303" s="2" t="s">
        <v>4143</v>
      </c>
      <c r="P1303" s="2" t="s">
        <v>121</v>
      </c>
    </row>
    <row r="1304" spans="1:16" x14ac:dyDescent="0.25">
      <c r="A1304" s="2">
        <v>105734</v>
      </c>
      <c r="B1304" s="2" t="str">
        <f>"00070571700030"</f>
        <v>00070571700030</v>
      </c>
      <c r="C1304" s="2" t="s">
        <v>16</v>
      </c>
      <c r="D1304" s="2" t="s">
        <v>4144</v>
      </c>
      <c r="E1304" s="2" t="s">
        <v>27</v>
      </c>
      <c r="F1304" s="2" t="s">
        <v>1892</v>
      </c>
      <c r="G1304" s="2" t="s">
        <v>1893</v>
      </c>
      <c r="H1304" s="2" t="s">
        <v>1893</v>
      </c>
      <c r="I1304" s="2" t="s">
        <v>30</v>
      </c>
      <c r="J1304" s="2" t="s">
        <v>4145</v>
      </c>
      <c r="K1304" s="2" t="str">
        <f>"42"</f>
        <v>42</v>
      </c>
      <c r="L1304" s="2" t="str">
        <f>""</f>
        <v/>
      </c>
      <c r="M1304" s="2" t="str">
        <f>"32-043"</f>
        <v>32-043</v>
      </c>
      <c r="N1304" s="2" t="str">
        <f>"123891548"</f>
        <v>123891548</v>
      </c>
      <c r="O1304" s="2" t="s">
        <v>4146</v>
      </c>
      <c r="P1304" s="2" t="s">
        <v>121</v>
      </c>
    </row>
    <row r="1305" spans="1:16" x14ac:dyDescent="0.25">
      <c r="A1305" s="2">
        <v>105733</v>
      </c>
      <c r="B1305" s="2" t="str">
        <f>"00070571700023"</f>
        <v>00070571700023</v>
      </c>
      <c r="C1305" s="2" t="s">
        <v>16</v>
      </c>
      <c r="D1305" s="2" t="s">
        <v>4147</v>
      </c>
      <c r="E1305" s="2" t="s">
        <v>27</v>
      </c>
      <c r="F1305" s="2" t="s">
        <v>1892</v>
      </c>
      <c r="G1305" s="2" t="s">
        <v>4148</v>
      </c>
      <c r="H1305" s="2" t="s">
        <v>4148</v>
      </c>
      <c r="I1305" s="2" t="s">
        <v>30</v>
      </c>
      <c r="J1305" s="2" t="s">
        <v>188</v>
      </c>
      <c r="K1305" s="2" t="str">
        <f>"26"</f>
        <v>26</v>
      </c>
      <c r="L1305" s="2" t="str">
        <f>""</f>
        <v/>
      </c>
      <c r="M1305" s="2" t="str">
        <f>"32-090"</f>
        <v>32-090</v>
      </c>
      <c r="N1305" s="2" t="str">
        <f>"124426980"</f>
        <v>124426980</v>
      </c>
      <c r="O1305" s="2" t="s">
        <v>4149</v>
      </c>
      <c r="P1305" s="2" t="s">
        <v>121</v>
      </c>
    </row>
    <row r="1306" spans="1:16" x14ac:dyDescent="0.25">
      <c r="A1306" s="2">
        <v>278001</v>
      </c>
      <c r="B1306" s="2" t="str">
        <f>"389746420"</f>
        <v>389746420</v>
      </c>
      <c r="C1306" s="2" t="s">
        <v>16</v>
      </c>
      <c r="D1306" s="2" t="s">
        <v>4150</v>
      </c>
      <c r="E1306" s="2" t="s">
        <v>18</v>
      </c>
      <c r="F1306" s="2" t="s">
        <v>3240</v>
      </c>
      <c r="G1306" s="2" t="s">
        <v>3241</v>
      </c>
      <c r="H1306" s="2" t="s">
        <v>4151</v>
      </c>
      <c r="I1306" s="2" t="s">
        <v>68</v>
      </c>
      <c r="J1306" s="2"/>
      <c r="K1306" s="2" t="str">
        <f>"247"</f>
        <v>247</v>
      </c>
      <c r="L1306" s="2" t="str">
        <f>""</f>
        <v/>
      </c>
      <c r="M1306" s="2" t="str">
        <f>"27-100"</f>
        <v>27-100</v>
      </c>
      <c r="N1306" s="2" t="str">
        <f>"486163049"</f>
        <v>486163049</v>
      </c>
      <c r="O1306" s="2" t="s">
        <v>4152</v>
      </c>
      <c r="P1306" s="2" t="s">
        <v>121</v>
      </c>
    </row>
    <row r="1307" spans="1:16" hidden="1" x14ac:dyDescent="0.25">
      <c r="A1307">
        <v>92589</v>
      </c>
      <c r="B1307" t="str">
        <f>"061496670"</f>
        <v>061496670</v>
      </c>
      <c r="C1307" t="s">
        <v>25</v>
      </c>
      <c r="D1307" t="s">
        <v>4153</v>
      </c>
      <c r="E1307" t="s">
        <v>112</v>
      </c>
      <c r="F1307" t="s">
        <v>113</v>
      </c>
      <c r="G1307" t="s">
        <v>113</v>
      </c>
      <c r="H1307" t="s">
        <v>113</v>
      </c>
      <c r="I1307" t="s">
        <v>30</v>
      </c>
      <c r="J1307" t="s">
        <v>4154</v>
      </c>
      <c r="K1307" t="str">
        <f>"8"</f>
        <v>8</v>
      </c>
      <c r="L1307" t="str">
        <f>"4"</f>
        <v>4</v>
      </c>
      <c r="M1307" t="str">
        <f>"20-029"</f>
        <v>20-029</v>
      </c>
      <c r="N1307" t="str">
        <f>"815250117"</f>
        <v>815250117</v>
      </c>
      <c r="O1307" t="s">
        <v>4155</v>
      </c>
      <c r="P1307" t="s">
        <v>24</v>
      </c>
    </row>
    <row r="1308" spans="1:16" x14ac:dyDescent="0.25">
      <c r="A1308" s="2">
        <v>62576</v>
      </c>
      <c r="B1308" s="2" t="str">
        <f>"001030204"</f>
        <v>001030204</v>
      </c>
      <c r="C1308" s="2" t="s">
        <v>16</v>
      </c>
      <c r="D1308" s="2" t="s">
        <v>4156</v>
      </c>
      <c r="E1308" s="2" t="s">
        <v>101</v>
      </c>
      <c r="F1308" s="2" t="s">
        <v>1957</v>
      </c>
      <c r="G1308" s="2" t="s">
        <v>1958</v>
      </c>
      <c r="H1308" s="2" t="s">
        <v>1958</v>
      </c>
      <c r="I1308" s="2" t="s">
        <v>30</v>
      </c>
      <c r="J1308" s="2" t="s">
        <v>4157</v>
      </c>
      <c r="K1308" s="2" t="str">
        <f>"2B"</f>
        <v>2B</v>
      </c>
      <c r="L1308" s="2" t="str">
        <f>""</f>
        <v/>
      </c>
      <c r="M1308" s="2" t="str">
        <f>"39-300"</f>
        <v>39-300</v>
      </c>
      <c r="N1308" s="2" t="str">
        <f>"177884978"</f>
        <v>177884978</v>
      </c>
      <c r="O1308" s="2" t="s">
        <v>4158</v>
      </c>
      <c r="P1308" s="2" t="s">
        <v>121</v>
      </c>
    </row>
    <row r="1309" spans="1:16" x14ac:dyDescent="0.25">
      <c r="A1309" s="2">
        <v>9400</v>
      </c>
      <c r="B1309" s="2" t="str">
        <f>"000722561"</f>
        <v>000722561</v>
      </c>
      <c r="C1309" s="2" t="s">
        <v>25</v>
      </c>
      <c r="D1309" s="2" t="s">
        <v>4159</v>
      </c>
      <c r="E1309" s="2" t="s">
        <v>117</v>
      </c>
      <c r="F1309" s="2" t="s">
        <v>382</v>
      </c>
      <c r="G1309" s="2" t="s">
        <v>382</v>
      </c>
      <c r="H1309" s="2" t="s">
        <v>382</v>
      </c>
      <c r="I1309" s="2" t="s">
        <v>30</v>
      </c>
      <c r="J1309" s="2" t="s">
        <v>360</v>
      </c>
      <c r="K1309" s="2" t="str">
        <f>"4"</f>
        <v>4</v>
      </c>
      <c r="L1309" s="2" t="str">
        <f>""</f>
        <v/>
      </c>
      <c r="M1309" s="2" t="str">
        <f>"40-126"</f>
        <v>40-126</v>
      </c>
      <c r="N1309" s="2" t="str">
        <f>"322583512"</f>
        <v>322583512</v>
      </c>
      <c r="O1309" s="2" t="s">
        <v>4160</v>
      </c>
      <c r="P1309" s="2" t="s">
        <v>121</v>
      </c>
    </row>
    <row r="1310" spans="1:16" x14ac:dyDescent="0.25">
      <c r="A1310" s="2">
        <v>92640</v>
      </c>
      <c r="B1310" s="2" t="str">
        <f>"933035418"</f>
        <v>933035418</v>
      </c>
      <c r="C1310" s="2" t="s">
        <v>25</v>
      </c>
      <c r="D1310" s="2" t="s">
        <v>4161</v>
      </c>
      <c r="E1310" s="2" t="s">
        <v>64</v>
      </c>
      <c r="F1310" s="2" t="s">
        <v>255</v>
      </c>
      <c r="G1310" s="2" t="s">
        <v>256</v>
      </c>
      <c r="H1310" s="2" t="s">
        <v>256</v>
      </c>
      <c r="I1310" s="2" t="s">
        <v>42</v>
      </c>
      <c r="J1310" s="2" t="s">
        <v>4162</v>
      </c>
      <c r="K1310" s="2" t="str">
        <f>"101"</f>
        <v>101</v>
      </c>
      <c r="L1310" s="2" t="str">
        <f>""</f>
        <v/>
      </c>
      <c r="M1310" s="2" t="str">
        <f>"50-551"</f>
        <v>50-551</v>
      </c>
      <c r="N1310" s="2" t="str">
        <f>"717986884"</f>
        <v>717986884</v>
      </c>
      <c r="O1310" s="2" t="s">
        <v>4163</v>
      </c>
      <c r="P1310" s="2" t="s">
        <v>121</v>
      </c>
    </row>
    <row r="1311" spans="1:16" x14ac:dyDescent="0.25">
      <c r="A1311" s="2">
        <v>7074</v>
      </c>
      <c r="B1311" s="2" t="str">
        <f>"810486010"</f>
        <v>810486010</v>
      </c>
      <c r="C1311" s="2" t="s">
        <v>25</v>
      </c>
      <c r="D1311" s="2" t="s">
        <v>4164</v>
      </c>
      <c r="E1311" s="2" t="s">
        <v>34</v>
      </c>
      <c r="F1311" s="2" t="s">
        <v>2367</v>
      </c>
      <c r="G1311" s="2" t="s">
        <v>4165</v>
      </c>
      <c r="H1311" s="2" t="s">
        <v>4165</v>
      </c>
      <c r="I1311" s="2" t="s">
        <v>30</v>
      </c>
      <c r="J1311" s="2" t="s">
        <v>1114</v>
      </c>
      <c r="K1311" s="2" t="str">
        <f>"44"</f>
        <v>44</v>
      </c>
      <c r="L1311" s="2" t="str">
        <f>""</f>
        <v/>
      </c>
      <c r="M1311" s="2" t="str">
        <f>"72-200"</f>
        <v>72-200</v>
      </c>
      <c r="N1311" s="2" t="str">
        <f>"913920743"</f>
        <v>913920743</v>
      </c>
      <c r="O1311" s="2" t="s">
        <v>4166</v>
      </c>
      <c r="P1311" s="2" t="s">
        <v>121</v>
      </c>
    </row>
    <row r="1312" spans="1:16" x14ac:dyDescent="0.25">
      <c r="A1312" s="2">
        <v>25509</v>
      </c>
      <c r="B1312" s="2" t="str">
        <f>"350696625"</f>
        <v>350696625</v>
      </c>
      <c r="C1312" s="2" t="s">
        <v>25</v>
      </c>
      <c r="D1312" s="2" t="s">
        <v>4167</v>
      </c>
      <c r="E1312" s="2" t="s">
        <v>27</v>
      </c>
      <c r="F1312" s="2" t="s">
        <v>123</v>
      </c>
      <c r="G1312" s="2" t="s">
        <v>278</v>
      </c>
      <c r="H1312" s="2" t="s">
        <v>278</v>
      </c>
      <c r="I1312" s="2" t="s">
        <v>42</v>
      </c>
      <c r="J1312" s="2" t="s">
        <v>4168</v>
      </c>
      <c r="K1312" s="2" t="str">
        <f>"35"</f>
        <v>35</v>
      </c>
      <c r="L1312" s="2" t="str">
        <f>""</f>
        <v/>
      </c>
      <c r="M1312" s="2" t="str">
        <f>"31-901"</f>
        <v>31-901</v>
      </c>
      <c r="N1312" s="2" t="str">
        <f>"124121566"</f>
        <v>124121566</v>
      </c>
      <c r="O1312" s="2" t="s">
        <v>4169</v>
      </c>
      <c r="P1312" s="2" t="s">
        <v>121</v>
      </c>
    </row>
    <row r="1313" spans="1:16" x14ac:dyDescent="0.25">
      <c r="A1313" s="2">
        <v>27948</v>
      </c>
      <c r="B1313" s="2" t="str">
        <f>"001018746"</f>
        <v>001018746</v>
      </c>
      <c r="C1313" s="2" t="s">
        <v>25</v>
      </c>
      <c r="D1313" s="2" t="s">
        <v>4170</v>
      </c>
      <c r="E1313" s="2" t="s">
        <v>39</v>
      </c>
      <c r="F1313" s="2" t="s">
        <v>40</v>
      </c>
      <c r="G1313" s="2" t="s">
        <v>41</v>
      </c>
      <c r="H1313" s="2" t="s">
        <v>41</v>
      </c>
      <c r="I1313" s="2" t="s">
        <v>42</v>
      </c>
      <c r="J1313" s="2" t="s">
        <v>2859</v>
      </c>
      <c r="K1313" s="2" t="str">
        <f>"3/5"</f>
        <v>3/5</v>
      </c>
      <c r="L1313" s="2" t="str">
        <f>""</f>
        <v/>
      </c>
      <c r="M1313" s="2" t="str">
        <f>"91-334"</f>
        <v>91-334</v>
      </c>
      <c r="N1313" s="2" t="str">
        <f>"426537675"</f>
        <v>426537675</v>
      </c>
      <c r="O1313" s="2" t="s">
        <v>4171</v>
      </c>
      <c r="P1313" s="2" t="s">
        <v>121</v>
      </c>
    </row>
    <row r="1314" spans="1:16" x14ac:dyDescent="0.25">
      <c r="A1314" s="2">
        <v>124065</v>
      </c>
      <c r="B1314" s="2" t="str">
        <f>"147372070"</f>
        <v>147372070</v>
      </c>
      <c r="C1314" s="2" t="s">
        <v>25</v>
      </c>
      <c r="D1314" s="2" t="s">
        <v>4172</v>
      </c>
      <c r="E1314" s="2" t="s">
        <v>18</v>
      </c>
      <c r="F1314" s="2" t="s">
        <v>502</v>
      </c>
      <c r="G1314" s="2" t="s">
        <v>502</v>
      </c>
      <c r="H1314" s="2" t="s">
        <v>502</v>
      </c>
      <c r="I1314" s="2" t="s">
        <v>30</v>
      </c>
      <c r="J1314" s="2" t="s">
        <v>4173</v>
      </c>
      <c r="K1314" s="2" t="str">
        <f>"2"</f>
        <v>2</v>
      </c>
      <c r="L1314" s="2" t="str">
        <f>""</f>
        <v/>
      </c>
      <c r="M1314" s="2" t="str">
        <f>"26-600"</f>
        <v>26-600</v>
      </c>
      <c r="N1314" s="2" t="str">
        <f>"483664131"</f>
        <v>483664131</v>
      </c>
      <c r="O1314" s="2" t="s">
        <v>4174</v>
      </c>
      <c r="P1314" s="2" t="s">
        <v>121</v>
      </c>
    </row>
    <row r="1315" spans="1:16" hidden="1" x14ac:dyDescent="0.25">
      <c r="A1315">
        <v>26654</v>
      </c>
      <c r="B1315" t="str">
        <f>"243064440"</f>
        <v>243064440</v>
      </c>
      <c r="C1315" t="s">
        <v>16</v>
      </c>
      <c r="D1315" t="s">
        <v>4175</v>
      </c>
      <c r="E1315" t="s">
        <v>117</v>
      </c>
      <c r="F1315" t="s">
        <v>967</v>
      </c>
      <c r="G1315" t="s">
        <v>967</v>
      </c>
      <c r="H1315" t="s">
        <v>967</v>
      </c>
      <c r="I1315" t="s">
        <v>30</v>
      </c>
      <c r="J1315" t="s">
        <v>4176</v>
      </c>
      <c r="K1315" t="str">
        <f>"19"</f>
        <v>19</v>
      </c>
      <c r="L1315" t="str">
        <f>""</f>
        <v/>
      </c>
      <c r="M1315" t="str">
        <f>"41-310"</f>
        <v>41-310</v>
      </c>
      <c r="N1315" t="str">
        <f>"322621955"</f>
        <v>322621955</v>
      </c>
      <c r="O1315" t="s">
        <v>4177</v>
      </c>
      <c r="P1315" t="s">
        <v>24</v>
      </c>
    </row>
    <row r="1316" spans="1:16" hidden="1" x14ac:dyDescent="0.25">
      <c r="A1316">
        <v>481442</v>
      </c>
      <c r="B1316" t="str">
        <f>"527264857"</f>
        <v>527264857</v>
      </c>
      <c r="C1316" t="s">
        <v>16</v>
      </c>
      <c r="D1316" t="s">
        <v>4178</v>
      </c>
      <c r="E1316" t="s">
        <v>18</v>
      </c>
      <c r="F1316" t="s">
        <v>19</v>
      </c>
      <c r="G1316" t="s">
        <v>1299</v>
      </c>
      <c r="H1316" t="s">
        <v>1299</v>
      </c>
      <c r="I1316" t="s">
        <v>21</v>
      </c>
      <c r="J1316" t="s">
        <v>1300</v>
      </c>
      <c r="K1316" t="str">
        <f>"33"</f>
        <v>33</v>
      </c>
      <c r="L1316" t="str">
        <f>""</f>
        <v/>
      </c>
      <c r="M1316" t="str">
        <f>"05-077"</f>
        <v>05-077</v>
      </c>
      <c r="N1316" t="str">
        <f>"221121001"</f>
        <v>221121001</v>
      </c>
      <c r="P1316" t="s">
        <v>24</v>
      </c>
    </row>
    <row r="1317" spans="1:16" hidden="1" x14ac:dyDescent="0.25">
      <c r="A1317">
        <v>132392</v>
      </c>
      <c r="B1317" t="str">
        <f>"365588803"</f>
        <v>365588803</v>
      </c>
      <c r="C1317" t="s">
        <v>16</v>
      </c>
      <c r="D1317" t="s">
        <v>4179</v>
      </c>
      <c r="E1317" t="s">
        <v>112</v>
      </c>
      <c r="F1317" t="s">
        <v>839</v>
      </c>
      <c r="G1317" t="s">
        <v>839</v>
      </c>
      <c r="H1317" t="s">
        <v>839</v>
      </c>
      <c r="I1317" t="s">
        <v>30</v>
      </c>
      <c r="J1317" t="s">
        <v>1989</v>
      </c>
      <c r="K1317" t="str">
        <f>"29"</f>
        <v>29</v>
      </c>
      <c r="L1317" t="str">
        <f>""</f>
        <v/>
      </c>
      <c r="M1317" t="str">
        <f>"22-100"</f>
        <v>22-100</v>
      </c>
      <c r="N1317" t="str">
        <f>""</f>
        <v/>
      </c>
      <c r="O1317" t="s">
        <v>4180</v>
      </c>
      <c r="P1317" t="s">
        <v>24</v>
      </c>
    </row>
    <row r="1318" spans="1:16" hidden="1" x14ac:dyDescent="0.25">
      <c r="A1318">
        <v>129183</v>
      </c>
      <c r="B1318" t="str">
        <f>"362507945"</f>
        <v>362507945</v>
      </c>
      <c r="C1318" t="s">
        <v>16</v>
      </c>
      <c r="D1318" t="s">
        <v>4181</v>
      </c>
      <c r="E1318" t="s">
        <v>64</v>
      </c>
      <c r="F1318" t="s">
        <v>988</v>
      </c>
      <c r="G1318" t="s">
        <v>988</v>
      </c>
      <c r="H1318" t="s">
        <v>988</v>
      </c>
      <c r="I1318" t="s">
        <v>30</v>
      </c>
      <c r="J1318" t="s">
        <v>444</v>
      </c>
      <c r="K1318" t="str">
        <f>"7a"</f>
        <v>7a</v>
      </c>
      <c r="L1318" t="str">
        <f>""</f>
        <v/>
      </c>
      <c r="M1318" t="str">
        <f>"58-302"</f>
        <v>58-302</v>
      </c>
      <c r="N1318" t="str">
        <f>"697989739"</f>
        <v>697989739</v>
      </c>
      <c r="O1318" t="s">
        <v>235</v>
      </c>
      <c r="P1318" t="s">
        <v>24</v>
      </c>
    </row>
    <row r="1319" spans="1:16" hidden="1" x14ac:dyDescent="0.25">
      <c r="A1319">
        <v>266990</v>
      </c>
      <c r="B1319" t="str">
        <f>"369775554"</f>
        <v>369775554</v>
      </c>
      <c r="C1319" t="s">
        <v>16</v>
      </c>
      <c r="D1319" t="s">
        <v>4182</v>
      </c>
      <c r="E1319" t="s">
        <v>157</v>
      </c>
      <c r="F1319" t="s">
        <v>158</v>
      </c>
      <c r="G1319" t="s">
        <v>787</v>
      </c>
      <c r="H1319" t="s">
        <v>787</v>
      </c>
      <c r="I1319" t="s">
        <v>42</v>
      </c>
      <c r="J1319" t="s">
        <v>691</v>
      </c>
      <c r="K1319" t="str">
        <f>"35"</f>
        <v>35</v>
      </c>
      <c r="L1319" t="str">
        <f>""</f>
        <v/>
      </c>
      <c r="M1319" t="str">
        <f>"60-277"</f>
        <v>60-277</v>
      </c>
      <c r="N1319" t="str">
        <f>"616221221"</f>
        <v>616221221</v>
      </c>
      <c r="O1319" t="s">
        <v>4183</v>
      </c>
      <c r="P1319" t="s">
        <v>24</v>
      </c>
    </row>
    <row r="1320" spans="1:16" x14ac:dyDescent="0.25">
      <c r="A1320" s="2">
        <v>26591</v>
      </c>
      <c r="B1320" s="2" t="str">
        <f>"001018278"</f>
        <v>001018278</v>
      </c>
      <c r="C1320" s="2" t="s">
        <v>16</v>
      </c>
      <c r="D1320" s="2" t="s">
        <v>4184</v>
      </c>
      <c r="E1320" s="2" t="s">
        <v>27</v>
      </c>
      <c r="F1320" s="2" t="s">
        <v>468</v>
      </c>
      <c r="G1320" s="2" t="s">
        <v>4185</v>
      </c>
      <c r="H1320" s="2" t="s">
        <v>4185</v>
      </c>
      <c r="I1320" s="2" t="s">
        <v>30</v>
      </c>
      <c r="J1320" s="2" t="s">
        <v>4186</v>
      </c>
      <c r="K1320" s="2" t="str">
        <f>"8"</f>
        <v>8</v>
      </c>
      <c r="L1320" s="2" t="str">
        <f>""</f>
        <v/>
      </c>
      <c r="M1320" s="2" t="str">
        <f>"34-600"</f>
        <v>34-600</v>
      </c>
      <c r="N1320" s="2" t="str">
        <f>"183371737"</f>
        <v>183371737</v>
      </c>
      <c r="O1320" s="2" t="s">
        <v>4187</v>
      </c>
      <c r="P1320" s="2" t="s">
        <v>121</v>
      </c>
    </row>
    <row r="1321" spans="1:16" x14ac:dyDescent="0.25">
      <c r="A1321" s="2">
        <v>80224</v>
      </c>
      <c r="B1321" s="2" t="str">
        <f>"432671085"</f>
        <v>432671085</v>
      </c>
      <c r="C1321" s="2" t="s">
        <v>16</v>
      </c>
      <c r="D1321" s="2" t="s">
        <v>4188</v>
      </c>
      <c r="E1321" s="2" t="s">
        <v>112</v>
      </c>
      <c r="F1321" s="2" t="s">
        <v>113</v>
      </c>
      <c r="G1321" s="2" t="s">
        <v>113</v>
      </c>
      <c r="H1321" s="2" t="s">
        <v>113</v>
      </c>
      <c r="I1321" s="2" t="s">
        <v>30</v>
      </c>
      <c r="J1321" s="2" t="s">
        <v>4189</v>
      </c>
      <c r="K1321" s="2" t="str">
        <f>"8"</f>
        <v>8</v>
      </c>
      <c r="L1321" s="2" t="str">
        <f>""</f>
        <v/>
      </c>
      <c r="M1321" s="2" t="str">
        <f>"20-143"</f>
        <v>20-143</v>
      </c>
      <c r="N1321" s="2" t="str">
        <f>"817473526"</f>
        <v>817473526</v>
      </c>
      <c r="O1321" s="2" t="s">
        <v>4190</v>
      </c>
      <c r="P1321" s="2" t="s">
        <v>121</v>
      </c>
    </row>
    <row r="1322" spans="1:16" x14ac:dyDescent="0.25">
      <c r="A1322" s="2">
        <v>80234</v>
      </c>
      <c r="B1322" s="2" t="str">
        <f>"432671091"</f>
        <v>432671091</v>
      </c>
      <c r="C1322" s="2" t="s">
        <v>16</v>
      </c>
      <c r="D1322" s="2" t="s">
        <v>4191</v>
      </c>
      <c r="E1322" s="2" t="s">
        <v>112</v>
      </c>
      <c r="F1322" s="2" t="s">
        <v>113</v>
      </c>
      <c r="G1322" s="2" t="s">
        <v>113</v>
      </c>
      <c r="H1322" s="2" t="s">
        <v>113</v>
      </c>
      <c r="I1322" s="2" t="s">
        <v>30</v>
      </c>
      <c r="J1322" s="2" t="s">
        <v>4189</v>
      </c>
      <c r="K1322" s="2" t="str">
        <f>"8"</f>
        <v>8</v>
      </c>
      <c r="L1322" s="2" t="str">
        <f>""</f>
        <v/>
      </c>
      <c r="M1322" s="2" t="str">
        <f>"20-143"</f>
        <v>20-143</v>
      </c>
      <c r="N1322" s="2" t="str">
        <f>"817473526"</f>
        <v>817473526</v>
      </c>
      <c r="O1322" s="2" t="s">
        <v>4190</v>
      </c>
      <c r="P1322" s="2" t="s">
        <v>121</v>
      </c>
    </row>
    <row r="1323" spans="1:16" x14ac:dyDescent="0.25">
      <c r="A1323" s="2">
        <v>80239</v>
      </c>
      <c r="B1323" s="2" t="str">
        <f>"060024347"</f>
        <v>060024347</v>
      </c>
      <c r="C1323" s="2" t="s">
        <v>25</v>
      </c>
      <c r="D1323" s="2" t="s">
        <v>4192</v>
      </c>
      <c r="E1323" s="2" t="s">
        <v>112</v>
      </c>
      <c r="F1323" s="2" t="s">
        <v>113</v>
      </c>
      <c r="G1323" s="2" t="s">
        <v>113</v>
      </c>
      <c r="H1323" s="2" t="s">
        <v>113</v>
      </c>
      <c r="I1323" s="2" t="s">
        <v>30</v>
      </c>
      <c r="J1323" s="2" t="s">
        <v>4193</v>
      </c>
      <c r="K1323" s="2" t="str">
        <f>"1"</f>
        <v>1</v>
      </c>
      <c r="L1323" s="2" t="str">
        <f>""</f>
        <v/>
      </c>
      <c r="M1323" s="2" t="str">
        <f>"20-400"</f>
        <v>20-400</v>
      </c>
      <c r="N1323" s="2" t="str">
        <f>"815324822"</f>
        <v>815324822</v>
      </c>
      <c r="O1323" s="2" t="s">
        <v>4194</v>
      </c>
      <c r="P1323" s="2" t="s">
        <v>121</v>
      </c>
    </row>
    <row r="1324" spans="1:16" x14ac:dyDescent="0.25">
      <c r="A1324" s="2">
        <v>80236</v>
      </c>
      <c r="B1324" s="2" t="str">
        <f>"060024330"</f>
        <v>060024330</v>
      </c>
      <c r="C1324" s="2" t="s">
        <v>16</v>
      </c>
      <c r="D1324" s="2" t="s">
        <v>4195</v>
      </c>
      <c r="E1324" s="2" t="s">
        <v>112</v>
      </c>
      <c r="F1324" s="2" t="s">
        <v>113</v>
      </c>
      <c r="G1324" s="2" t="s">
        <v>113</v>
      </c>
      <c r="H1324" s="2" t="s">
        <v>113</v>
      </c>
      <c r="I1324" s="2" t="s">
        <v>30</v>
      </c>
      <c r="J1324" s="2" t="s">
        <v>4193</v>
      </c>
      <c r="K1324" s="2" t="str">
        <f>"1"</f>
        <v>1</v>
      </c>
      <c r="L1324" s="2" t="str">
        <f>""</f>
        <v/>
      </c>
      <c r="M1324" s="2" t="str">
        <f>"20-400"</f>
        <v>20-400</v>
      </c>
      <c r="N1324" s="2" t="str">
        <f>"815324822"</f>
        <v>815324822</v>
      </c>
      <c r="O1324" s="2" t="s">
        <v>4194</v>
      </c>
      <c r="P1324" s="2" t="s">
        <v>121</v>
      </c>
    </row>
    <row r="1325" spans="1:16" x14ac:dyDescent="0.25">
      <c r="A1325" s="2">
        <v>122735</v>
      </c>
      <c r="B1325" s="2" t="str">
        <f>"061669767"</f>
        <v>061669767</v>
      </c>
      <c r="C1325" s="2" t="s">
        <v>25</v>
      </c>
      <c r="D1325" s="2" t="s">
        <v>4196</v>
      </c>
      <c r="E1325" s="2" t="s">
        <v>112</v>
      </c>
      <c r="F1325" s="2" t="s">
        <v>113</v>
      </c>
      <c r="G1325" s="2" t="s">
        <v>113</v>
      </c>
      <c r="H1325" s="2" t="s">
        <v>113</v>
      </c>
      <c r="I1325" s="2" t="s">
        <v>30</v>
      </c>
      <c r="J1325" s="2" t="s">
        <v>4197</v>
      </c>
      <c r="K1325" s="2" t="str">
        <f>"30"</f>
        <v>30</v>
      </c>
      <c r="L1325" s="2" t="str">
        <f>""</f>
        <v/>
      </c>
      <c r="M1325" s="2" t="str">
        <f>"20-863"</f>
        <v>20-863</v>
      </c>
      <c r="N1325" s="2" t="str">
        <f>"817410930"</f>
        <v>817410930</v>
      </c>
      <c r="O1325" s="2" t="s">
        <v>4198</v>
      </c>
      <c r="P1325" s="2" t="s">
        <v>121</v>
      </c>
    </row>
    <row r="1326" spans="1:16" x14ac:dyDescent="0.25">
      <c r="A1326" s="2">
        <v>122734</v>
      </c>
      <c r="B1326" s="2" t="str">
        <f>"061669738"</f>
        <v>061669738</v>
      </c>
      <c r="C1326" s="2" t="s">
        <v>16</v>
      </c>
      <c r="D1326" s="2" t="s">
        <v>4199</v>
      </c>
      <c r="E1326" s="2" t="s">
        <v>112</v>
      </c>
      <c r="F1326" s="2" t="s">
        <v>113</v>
      </c>
      <c r="G1326" s="2" t="s">
        <v>113</v>
      </c>
      <c r="H1326" s="2" t="s">
        <v>113</v>
      </c>
      <c r="I1326" s="2" t="s">
        <v>30</v>
      </c>
      <c r="J1326" s="2" t="s">
        <v>4197</v>
      </c>
      <c r="K1326" s="2" t="str">
        <f>"30"</f>
        <v>30</v>
      </c>
      <c r="L1326" s="2" t="str">
        <f>""</f>
        <v/>
      </c>
      <c r="M1326" s="2" t="str">
        <f>"20-863"</f>
        <v>20-863</v>
      </c>
      <c r="N1326" s="2" t="str">
        <f>"817410930"</f>
        <v>817410930</v>
      </c>
      <c r="O1326" s="2" t="s">
        <v>4198</v>
      </c>
      <c r="P1326" s="2" t="s">
        <v>121</v>
      </c>
    </row>
    <row r="1327" spans="1:16" x14ac:dyDescent="0.25">
      <c r="A1327" s="2">
        <v>21181</v>
      </c>
      <c r="B1327" s="2" t="str">
        <f>"081076170"</f>
        <v>081076170</v>
      </c>
      <c r="C1327" s="2" t="s">
        <v>16</v>
      </c>
      <c r="D1327" s="2" t="s">
        <v>4200</v>
      </c>
      <c r="E1327" s="2" t="s">
        <v>240</v>
      </c>
      <c r="F1327" s="2" t="s">
        <v>783</v>
      </c>
      <c r="G1327" s="2" t="s">
        <v>784</v>
      </c>
      <c r="H1327" s="2" t="s">
        <v>784</v>
      </c>
      <c r="I1327" s="2" t="s">
        <v>30</v>
      </c>
      <c r="J1327" s="2" t="s">
        <v>43</v>
      </c>
      <c r="K1327" s="2" t="str">
        <f>"5"</f>
        <v>5</v>
      </c>
      <c r="L1327" s="2" t="str">
        <f>""</f>
        <v/>
      </c>
      <c r="M1327" s="2" t="str">
        <f>"68-200"</f>
        <v>68-200</v>
      </c>
      <c r="N1327" s="2" t="str">
        <f>"684794383"</f>
        <v>684794383</v>
      </c>
      <c r="O1327" s="2" t="s">
        <v>4201</v>
      </c>
      <c r="P1327" s="2" t="s">
        <v>121</v>
      </c>
    </row>
    <row r="1328" spans="1:16" x14ac:dyDescent="0.25">
      <c r="A1328" s="2">
        <v>34532</v>
      </c>
      <c r="B1328" s="2" t="str">
        <f>"072687771"</f>
        <v>072687771</v>
      </c>
      <c r="C1328" s="2" t="s">
        <v>16</v>
      </c>
      <c r="D1328" s="2" t="s">
        <v>4202</v>
      </c>
      <c r="E1328" s="2" t="s">
        <v>117</v>
      </c>
      <c r="F1328" s="2" t="s">
        <v>168</v>
      </c>
      <c r="G1328" s="2" t="s">
        <v>168</v>
      </c>
      <c r="H1328" s="2" t="s">
        <v>168</v>
      </c>
      <c r="I1328" s="2" t="s">
        <v>30</v>
      </c>
      <c r="J1328" s="2" t="s">
        <v>1572</v>
      </c>
      <c r="K1328" s="2" t="str">
        <f>"45"</f>
        <v>45</v>
      </c>
      <c r="L1328" s="2" t="str">
        <f>""</f>
        <v/>
      </c>
      <c r="M1328" s="2" t="str">
        <f>"43-300"</f>
        <v>43-300</v>
      </c>
      <c r="N1328" s="2" t="str">
        <f>"338125078"</f>
        <v>338125078</v>
      </c>
      <c r="O1328" s="2" t="s">
        <v>4203</v>
      </c>
      <c r="P1328" s="2" t="s">
        <v>121</v>
      </c>
    </row>
    <row r="1329" spans="1:16" x14ac:dyDescent="0.25">
      <c r="A1329" s="2">
        <v>34533</v>
      </c>
      <c r="B1329" s="2" t="str">
        <f>"072689994"</f>
        <v>072689994</v>
      </c>
      <c r="C1329" s="2" t="s">
        <v>16</v>
      </c>
      <c r="D1329" s="2" t="s">
        <v>4204</v>
      </c>
      <c r="E1329" s="2" t="s">
        <v>117</v>
      </c>
      <c r="F1329" s="2" t="s">
        <v>168</v>
      </c>
      <c r="G1329" s="2" t="s">
        <v>168</v>
      </c>
      <c r="H1329" s="2" t="s">
        <v>168</v>
      </c>
      <c r="I1329" s="2" t="s">
        <v>30</v>
      </c>
      <c r="J1329" s="2" t="s">
        <v>1572</v>
      </c>
      <c r="K1329" s="2" t="str">
        <f>"45"</f>
        <v>45</v>
      </c>
      <c r="L1329" s="2" t="str">
        <f>""</f>
        <v/>
      </c>
      <c r="M1329" s="2" t="str">
        <f>"43-318"</f>
        <v>43-318</v>
      </c>
      <c r="N1329" s="2" t="str">
        <f>"338293458"</f>
        <v>338293458</v>
      </c>
      <c r="O1329" s="2" t="s">
        <v>4203</v>
      </c>
      <c r="P1329" s="2" t="s">
        <v>121</v>
      </c>
    </row>
    <row r="1330" spans="1:16" x14ac:dyDescent="0.25">
      <c r="A1330" s="2">
        <v>34534</v>
      </c>
      <c r="B1330" s="2" t="str">
        <f>"072654671"</f>
        <v>072654671</v>
      </c>
      <c r="C1330" s="2" t="s">
        <v>25</v>
      </c>
      <c r="D1330" s="2" t="s">
        <v>4205</v>
      </c>
      <c r="E1330" s="2" t="s">
        <v>117</v>
      </c>
      <c r="F1330" s="2" t="s">
        <v>168</v>
      </c>
      <c r="G1330" s="2" t="s">
        <v>168</v>
      </c>
      <c r="H1330" s="2" t="s">
        <v>168</v>
      </c>
      <c r="I1330" s="2" t="s">
        <v>30</v>
      </c>
      <c r="J1330" s="2" t="s">
        <v>1572</v>
      </c>
      <c r="K1330" s="2" t="str">
        <f>"45"</f>
        <v>45</v>
      </c>
      <c r="L1330" s="2" t="str">
        <f>""</f>
        <v/>
      </c>
      <c r="M1330" s="2" t="str">
        <f>"43-300"</f>
        <v>43-300</v>
      </c>
      <c r="N1330" s="2" t="str">
        <f>"338125769"</f>
        <v>338125769</v>
      </c>
      <c r="O1330" s="2" t="s">
        <v>4203</v>
      </c>
      <c r="P1330" s="2" t="s">
        <v>121</v>
      </c>
    </row>
    <row r="1331" spans="1:16" x14ac:dyDescent="0.25">
      <c r="A1331" s="2">
        <v>71609</v>
      </c>
      <c r="B1331" s="2" t="str">
        <f>"080035677"</f>
        <v>080035677</v>
      </c>
      <c r="C1331" s="2" t="s">
        <v>16</v>
      </c>
      <c r="D1331" s="2" t="s">
        <v>4206</v>
      </c>
      <c r="E1331" s="2" t="s">
        <v>240</v>
      </c>
      <c r="F1331" s="2" t="s">
        <v>473</v>
      </c>
      <c r="G1331" s="2" t="s">
        <v>473</v>
      </c>
      <c r="H1331" s="2" t="s">
        <v>473</v>
      </c>
      <c r="I1331" s="2" t="s">
        <v>30</v>
      </c>
      <c r="J1331" s="2" t="s">
        <v>4207</v>
      </c>
      <c r="K1331" s="2" t="str">
        <f>"4i"</f>
        <v>4i</v>
      </c>
      <c r="L1331" s="2" t="str">
        <f>""</f>
        <v/>
      </c>
      <c r="M1331" s="2" t="str">
        <f>"66-400"</f>
        <v>66-400</v>
      </c>
      <c r="N1331" s="2" t="str">
        <f>"957320736"</f>
        <v>957320736</v>
      </c>
      <c r="O1331" s="2" t="s">
        <v>4208</v>
      </c>
      <c r="P1331" s="2" t="s">
        <v>121</v>
      </c>
    </row>
    <row r="1332" spans="1:16" x14ac:dyDescent="0.25">
      <c r="A1332" s="2">
        <v>7226</v>
      </c>
      <c r="B1332" s="2" t="str">
        <f>"190013021"</f>
        <v>190013021</v>
      </c>
      <c r="C1332" s="2" t="s">
        <v>16</v>
      </c>
      <c r="D1332" s="2" t="s">
        <v>4209</v>
      </c>
      <c r="E1332" s="2" t="s">
        <v>80</v>
      </c>
      <c r="F1332" s="2" t="s">
        <v>339</v>
      </c>
      <c r="G1332" s="2" t="s">
        <v>339</v>
      </c>
      <c r="H1332" s="2" t="s">
        <v>339</v>
      </c>
      <c r="I1332" s="2" t="s">
        <v>30</v>
      </c>
      <c r="J1332" s="2" t="s">
        <v>4210</v>
      </c>
      <c r="K1332" s="2" t="str">
        <f>"21"</f>
        <v>21</v>
      </c>
      <c r="L1332" s="2" t="str">
        <f>""</f>
        <v/>
      </c>
      <c r="M1332" s="2" t="str">
        <f>"80-704"</f>
        <v>80-704</v>
      </c>
      <c r="N1332" s="2" t="str">
        <f>"583011815"</f>
        <v>583011815</v>
      </c>
      <c r="O1332" s="2" t="s">
        <v>4211</v>
      </c>
      <c r="P1332" s="2" t="s">
        <v>121</v>
      </c>
    </row>
    <row r="1333" spans="1:16" hidden="1" x14ac:dyDescent="0.25">
      <c r="A1333">
        <v>130343</v>
      </c>
      <c r="B1333" t="str">
        <f>"363893867"</f>
        <v>363893867</v>
      </c>
      <c r="C1333" t="s">
        <v>16</v>
      </c>
      <c r="D1333" t="s">
        <v>4212</v>
      </c>
      <c r="E1333" t="s">
        <v>18</v>
      </c>
      <c r="F1333" t="s">
        <v>451</v>
      </c>
      <c r="G1333" t="s">
        <v>880</v>
      </c>
      <c r="H1333" t="s">
        <v>880</v>
      </c>
      <c r="I1333" t="s">
        <v>30</v>
      </c>
      <c r="J1333" t="s">
        <v>2892</v>
      </c>
      <c r="K1333" t="str">
        <f>"62A"</f>
        <v>62A</v>
      </c>
      <c r="L1333" t="str">
        <f>""</f>
        <v/>
      </c>
      <c r="M1333" t="str">
        <f>"05-091"</f>
        <v>05-091</v>
      </c>
      <c r="N1333" t="str">
        <f>"608151105"</f>
        <v>608151105</v>
      </c>
      <c r="O1333" t="s">
        <v>4213</v>
      </c>
      <c r="P1333" t="s">
        <v>24</v>
      </c>
    </row>
  </sheetData>
  <autoFilter ref="P2:P1333" xr:uid="{00000000-0009-0000-0000-000000000000}">
    <filterColumn colId="0">
      <filters>
        <filter val="publiczna"/>
      </filters>
    </filterColumn>
  </autoFilter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RSPO poradnie - 21.06.2024r.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Karpińska-Męcik Iga</dc:creator>
  <cp:lastModifiedBy>Wnuk-Wojdat Aleksandra</cp:lastModifiedBy>
  <dcterms:created xsi:type="dcterms:W3CDTF">2024-06-21T10:10:35Z</dcterms:created>
  <dcterms:modified xsi:type="dcterms:W3CDTF">2024-08-30T06:31:18Z</dcterms:modified>
</cp:coreProperties>
</file>